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01"/>
  <workbookPr/>
  <mc:AlternateContent xmlns:mc="http://schemas.openxmlformats.org/markup-compatibility/2006">
    <mc:Choice Requires="x15">
      <x15ac:absPath xmlns:x15ac="http://schemas.microsoft.com/office/spreadsheetml/2010/11/ac" url="C:\Users\Office\Downloads\"/>
    </mc:Choice>
  </mc:AlternateContent>
  <workbookProtection workbookPassword="CCDB" lockStructure="1"/>
  <bookViews>
    <workbookView xWindow="0" yWindow="0" windowWidth="11025" windowHeight="5595" tabRatio="689" activeTab="3"/>
  </bookViews>
  <sheets>
    <sheet name="Eingabetabelle" sheetId="1" r:id="rId1"/>
    <sheet name="Erschwernisfaktortabelle" sheetId="5" r:id="rId2"/>
    <sheet name="Dichtetabelle" sheetId="4" r:id="rId3"/>
    <sheet name="Bemessung" sheetId="2" r:id="rId4"/>
    <sheet name="erford. Mineralölabscheider" sheetId="3" r:id="rId5"/>
  </sheets>
  <definedNames>
    <definedName name="_xlnm.Print_Area" localSheetId="3">Bemessung!$A$1:$P$164</definedName>
    <definedName name="_xlnm.Print_Area" localSheetId="0">Eingabetabelle!$A$1:$X$70</definedName>
    <definedName name="_xlnm.Print_Area" localSheetId="4">'erford. Mineralölabscheider'!$A$1:$O$49</definedName>
    <definedName name="_xlnm.Print_Area" localSheetId="1">Erschwernisfaktortabelle!$A$1:$G$41</definedName>
  </definedNames>
  <calcPr calcId="162913"/>
</workbook>
</file>

<file path=xl/calcChain.xml><?xml version="1.0" encoding="utf-8"?>
<calcChain xmlns="http://schemas.openxmlformats.org/spreadsheetml/2006/main">
  <c r="Q36" i="3" l="1"/>
  <c r="R36" i="3" s="1"/>
  <c r="E78" i="2"/>
  <c r="O136" i="2" s="1"/>
  <c r="E66" i="2"/>
  <c r="M136" i="2" s="1"/>
  <c r="H22" i="2"/>
  <c r="J22" i="2"/>
  <c r="Q24" i="3"/>
  <c r="T24" i="3" s="1"/>
  <c r="R24" i="3"/>
  <c r="S24" i="3"/>
  <c r="L29" i="1"/>
  <c r="K8" i="1"/>
  <c r="L8" i="1" s="1"/>
  <c r="L19" i="1"/>
  <c r="Q39" i="2"/>
  <c r="R39" i="2" s="1"/>
  <c r="Q41" i="2"/>
  <c r="S39" i="2" s="1"/>
  <c r="Q40" i="2"/>
  <c r="R40" i="2" s="1"/>
  <c r="S40" i="2"/>
  <c r="K41" i="2"/>
  <c r="K46" i="2"/>
  <c r="H48" i="2"/>
  <c r="J48" i="2" s="1"/>
  <c r="G62" i="2" s="1"/>
  <c r="H52" i="2"/>
  <c r="J52" i="2"/>
  <c r="H53" i="2"/>
  <c r="J53" i="2" s="1"/>
  <c r="F28" i="2"/>
  <c r="F24" i="2"/>
  <c r="E58" i="2"/>
  <c r="K62" i="2" s="1"/>
  <c r="L16" i="1"/>
  <c r="L12" i="1"/>
  <c r="K41" i="1"/>
  <c r="L41" i="1" s="1"/>
  <c r="K43" i="1"/>
  <c r="L43" i="1"/>
  <c r="K45" i="1"/>
  <c r="L45" i="1" s="1"/>
  <c r="L50" i="1"/>
  <c r="K53" i="1"/>
  <c r="L53" i="1" s="1"/>
  <c r="L55" i="1"/>
  <c r="L40" i="1"/>
  <c r="O29" i="1"/>
  <c r="O41" i="1"/>
  <c r="O43" i="1"/>
  <c r="O45" i="1"/>
  <c r="O50" i="1"/>
  <c r="O53" i="1"/>
  <c r="O58" i="1"/>
  <c r="G122" i="2" s="1"/>
  <c r="AE264" i="2"/>
  <c r="AF264" i="2"/>
  <c r="AG264" i="2"/>
  <c r="AE263" i="2"/>
  <c r="AG263" i="2" s="1"/>
  <c r="AF263" i="2"/>
  <c r="AE262" i="2"/>
  <c r="AF262" i="2"/>
  <c r="AE261" i="2"/>
  <c r="AF261" i="2"/>
  <c r="AE260" i="2"/>
  <c r="AF260" i="2"/>
  <c r="AG260" i="2"/>
  <c r="AE259" i="2"/>
  <c r="AG259" i="2" s="1"/>
  <c r="AF259" i="2"/>
  <c r="AE258" i="2"/>
  <c r="AF258" i="2"/>
  <c r="AE252" i="2"/>
  <c r="AF252" i="2"/>
  <c r="AE251" i="2"/>
  <c r="AG251" i="2" s="1"/>
  <c r="AF251" i="2"/>
  <c r="AE250" i="2"/>
  <c r="AF250" i="2"/>
  <c r="AE249" i="2"/>
  <c r="AG249" i="2" s="1"/>
  <c r="AF249" i="2"/>
  <c r="AE248" i="2"/>
  <c r="AF248" i="2"/>
  <c r="AG248" i="2" s="1"/>
  <c r="AE247" i="2"/>
  <c r="AG247" i="2" s="1"/>
  <c r="AF247" i="2"/>
  <c r="AE246" i="2"/>
  <c r="AF246" i="2"/>
  <c r="AE240" i="2"/>
  <c r="AG240" i="2" s="1"/>
  <c r="AF240" i="2"/>
  <c r="AE239" i="2"/>
  <c r="AF239" i="2"/>
  <c r="AG239" i="2" s="1"/>
  <c r="AE238" i="2"/>
  <c r="AF238" i="2"/>
  <c r="AG238" i="2"/>
  <c r="AE237" i="2"/>
  <c r="AG237" i="2" s="1"/>
  <c r="AF237" i="2"/>
  <c r="AE236" i="2"/>
  <c r="AF236" i="2"/>
  <c r="AE235" i="2"/>
  <c r="AF235" i="2"/>
  <c r="AE234" i="2"/>
  <c r="AF234" i="2"/>
  <c r="AG234" i="2"/>
  <c r="AE233" i="2"/>
  <c r="AG233" i="2" s="1"/>
  <c r="AF233" i="2"/>
  <c r="AE232" i="2"/>
  <c r="AF232" i="2"/>
  <c r="AE231" i="2"/>
  <c r="AF231" i="2"/>
  <c r="AE230" i="2"/>
  <c r="AG230" i="2" s="1"/>
  <c r="AF230" i="2"/>
  <c r="AE229" i="2"/>
  <c r="AF229" i="2"/>
  <c r="AE228" i="2"/>
  <c r="AG228" i="2" s="1"/>
  <c r="AF228" i="2"/>
  <c r="AE227" i="2"/>
  <c r="AF227" i="2"/>
  <c r="AG227" i="2" s="1"/>
  <c r="AE226" i="2"/>
  <c r="AG226" i="2" s="1"/>
  <c r="AF226" i="2"/>
  <c r="AE225" i="2"/>
  <c r="AF225" i="2"/>
  <c r="AE224" i="2"/>
  <c r="AG224" i="2" s="1"/>
  <c r="AF224" i="2"/>
  <c r="AE223" i="2"/>
  <c r="AF223" i="2"/>
  <c r="AG223" i="2" s="1"/>
  <c r="AE222" i="2"/>
  <c r="AF222" i="2"/>
  <c r="AG222" i="2"/>
  <c r="AE221" i="2"/>
  <c r="AG221" i="2" s="1"/>
  <c r="AF221" i="2"/>
  <c r="AE220" i="2"/>
  <c r="AF220" i="2"/>
  <c r="AE219" i="2"/>
  <c r="AF219" i="2"/>
  <c r="AE218" i="2"/>
  <c r="AF218" i="2"/>
  <c r="AG218" i="2"/>
  <c r="AE217" i="2"/>
  <c r="AG217" i="2" s="1"/>
  <c r="AF217" i="2"/>
  <c r="AE216" i="2"/>
  <c r="AF216" i="2"/>
  <c r="AE215" i="2"/>
  <c r="AF215" i="2"/>
  <c r="AE214" i="2"/>
  <c r="AG214" i="2" s="1"/>
  <c r="AF214" i="2"/>
  <c r="AE213" i="2"/>
  <c r="AF213" i="2"/>
  <c r="AE212" i="2"/>
  <c r="AG212" i="2" s="1"/>
  <c r="AF212" i="2"/>
  <c r="AE211" i="2"/>
  <c r="AF211" i="2"/>
  <c r="AG211" i="2" s="1"/>
  <c r="AE210" i="2"/>
  <c r="AG210" i="2" s="1"/>
  <c r="AF210" i="2"/>
  <c r="AE209" i="2"/>
  <c r="AF209" i="2"/>
  <c r="AE208" i="2"/>
  <c r="AG208" i="2" s="1"/>
  <c r="AF208" i="2"/>
  <c r="AE207" i="2"/>
  <c r="AF207" i="2"/>
  <c r="AG207" i="2" s="1"/>
  <c r="AE206" i="2"/>
  <c r="AF206" i="2"/>
  <c r="AG206" i="2"/>
  <c r="AE205" i="2"/>
  <c r="AG205" i="2" s="1"/>
  <c r="AF205" i="2"/>
  <c r="AE204" i="2"/>
  <c r="AF204" i="2"/>
  <c r="AE203" i="2"/>
  <c r="AF203" i="2"/>
  <c r="AE202" i="2"/>
  <c r="AF202" i="2"/>
  <c r="AG202" i="2"/>
  <c r="AE201" i="2"/>
  <c r="AG201" i="2" s="1"/>
  <c r="AF201" i="2"/>
  <c r="AE200" i="2"/>
  <c r="AF200" i="2"/>
  <c r="AE199" i="2"/>
  <c r="AF199" i="2"/>
  <c r="AE198" i="2"/>
  <c r="AG198" i="2" s="1"/>
  <c r="AF198" i="2"/>
  <c r="AE197" i="2"/>
  <c r="AF197" i="2"/>
  <c r="AE196" i="2"/>
  <c r="AG196" i="2" s="1"/>
  <c r="AF196" i="2"/>
  <c r="AE195" i="2"/>
  <c r="AF195" i="2"/>
  <c r="AG195" i="2" s="1"/>
  <c r="AE194" i="2"/>
  <c r="AG194" i="2" s="1"/>
  <c r="AF194" i="2"/>
  <c r="AE193" i="2"/>
  <c r="AF193" i="2"/>
  <c r="AE192" i="2"/>
  <c r="AG192" i="2" s="1"/>
  <c r="AF192" i="2"/>
  <c r="AE191" i="2"/>
  <c r="AF191" i="2"/>
  <c r="AG191" i="2" s="1"/>
  <c r="AE190" i="2"/>
  <c r="AF190" i="2"/>
  <c r="AG190" i="2"/>
  <c r="AE189" i="2"/>
  <c r="AG189" i="2" s="1"/>
  <c r="AF189" i="2"/>
  <c r="AE188" i="2"/>
  <c r="AF188" i="2"/>
  <c r="AE187" i="2"/>
  <c r="AF187" i="2"/>
  <c r="AE186" i="2"/>
  <c r="AF186" i="2"/>
  <c r="AG186" i="2"/>
  <c r="AE185" i="2"/>
  <c r="AG185" i="2" s="1"/>
  <c r="AF185" i="2"/>
  <c r="AE184" i="2"/>
  <c r="AF184" i="2"/>
  <c r="AE183" i="2"/>
  <c r="AF183" i="2"/>
  <c r="AE182" i="2"/>
  <c r="AG182" i="2" s="1"/>
  <c r="AF182" i="2"/>
  <c r="AE181" i="2"/>
  <c r="AF181" i="2"/>
  <c r="AE180" i="2"/>
  <c r="AG180" i="2" s="1"/>
  <c r="AF180" i="2"/>
  <c r="AE179" i="2"/>
  <c r="AF179" i="2"/>
  <c r="AG179" i="2" s="1"/>
  <c r="AE178" i="2"/>
  <c r="AG178" i="2" s="1"/>
  <c r="AF178" i="2"/>
  <c r="AE177" i="2"/>
  <c r="AF177" i="2"/>
  <c r="AE176" i="2"/>
  <c r="AG176" i="2" s="1"/>
  <c r="AF176" i="2"/>
  <c r="AE175" i="2"/>
  <c r="AF175" i="2"/>
  <c r="AG175" i="2" s="1"/>
  <c r="AE174" i="2"/>
  <c r="AF174" i="2"/>
  <c r="AG174" i="2"/>
  <c r="AE173" i="2"/>
  <c r="AG173" i="2" s="1"/>
  <c r="AF173" i="2"/>
  <c r="AE172" i="2"/>
  <c r="AF172" i="2"/>
  <c r="AE171" i="2"/>
  <c r="AF171" i="2"/>
  <c r="AE170" i="2"/>
  <c r="AF170" i="2"/>
  <c r="AG170" i="2"/>
  <c r="AE169" i="2"/>
  <c r="AG169" i="2" s="1"/>
  <c r="AF169" i="2"/>
  <c r="AE168" i="2"/>
  <c r="AF168" i="2"/>
  <c r="AE167" i="2"/>
  <c r="AF167" i="2"/>
  <c r="AE166" i="2"/>
  <c r="AG166" i="2" s="1"/>
  <c r="AF166" i="2"/>
  <c r="AE165" i="2"/>
  <c r="AF165" i="2"/>
  <c r="AE164" i="2"/>
  <c r="AG164" i="2" s="1"/>
  <c r="AF164" i="2"/>
  <c r="AE163" i="2"/>
  <c r="AF163" i="2"/>
  <c r="AG163" i="2" s="1"/>
  <c r="AE162" i="2"/>
  <c r="AG162" i="2" s="1"/>
  <c r="AF162" i="2"/>
  <c r="AE161" i="2"/>
  <c r="AF161" i="2"/>
  <c r="AE160" i="2"/>
  <c r="AG160" i="2" s="1"/>
  <c r="AF160" i="2"/>
  <c r="AE159" i="2"/>
  <c r="AF159" i="2"/>
  <c r="AG159" i="2" s="1"/>
  <c r="AE158" i="2"/>
  <c r="AF158" i="2"/>
  <c r="AG158" i="2"/>
  <c r="AE157" i="2"/>
  <c r="AG157" i="2" s="1"/>
  <c r="AF157" i="2"/>
  <c r="AE156" i="2"/>
  <c r="AF156" i="2"/>
  <c r="AE155" i="2"/>
  <c r="AF155" i="2"/>
  <c r="AE154" i="2"/>
  <c r="AF154" i="2"/>
  <c r="AG154" i="2"/>
  <c r="AE153" i="2"/>
  <c r="AG153" i="2" s="1"/>
  <c r="AF153" i="2"/>
  <c r="AE152" i="2"/>
  <c r="AF152" i="2"/>
  <c r="AE151" i="2"/>
  <c r="AF151" i="2"/>
  <c r="AE150" i="2"/>
  <c r="AG150" i="2" s="1"/>
  <c r="AF150" i="2"/>
  <c r="AE149" i="2"/>
  <c r="AF149" i="2"/>
  <c r="AE148" i="2"/>
  <c r="AG148" i="2" s="1"/>
  <c r="AF148" i="2"/>
  <c r="AE147" i="2"/>
  <c r="AF147" i="2"/>
  <c r="AG147" i="2" s="1"/>
  <c r="AE146" i="2"/>
  <c r="AG146" i="2" s="1"/>
  <c r="AF146" i="2"/>
  <c r="AE145" i="2"/>
  <c r="AF145" i="2"/>
  <c r="AE144" i="2"/>
  <c r="AG144" i="2" s="1"/>
  <c r="AF144" i="2"/>
  <c r="AE143" i="2"/>
  <c r="AF143" i="2"/>
  <c r="AG143" i="2" s="1"/>
  <c r="AE142" i="2"/>
  <c r="AF142" i="2"/>
  <c r="AG142" i="2"/>
  <c r="AE141" i="2"/>
  <c r="AG141" i="2" s="1"/>
  <c r="AF141" i="2"/>
  <c r="AE140" i="2"/>
  <c r="AF140" i="2"/>
  <c r="AE139" i="2"/>
  <c r="AF139" i="2"/>
  <c r="AE138" i="2"/>
  <c r="AF138" i="2"/>
  <c r="AG138" i="2"/>
  <c r="AE137" i="2"/>
  <c r="AG137" i="2" s="1"/>
  <c r="AF137" i="2"/>
  <c r="AE136" i="2"/>
  <c r="AF136" i="2"/>
  <c r="AE135" i="2"/>
  <c r="AF135" i="2"/>
  <c r="AE134" i="2"/>
  <c r="AG134" i="2" s="1"/>
  <c r="AF134" i="2"/>
  <c r="AE133" i="2"/>
  <c r="AF133" i="2"/>
  <c r="AE132" i="2"/>
  <c r="AG132" i="2" s="1"/>
  <c r="AF132" i="2"/>
  <c r="AE131" i="2"/>
  <c r="AF131" i="2"/>
  <c r="AG131" i="2" s="1"/>
  <c r="AE130" i="2"/>
  <c r="AG130" i="2" s="1"/>
  <c r="AF130" i="2"/>
  <c r="AE129" i="2"/>
  <c r="AF129" i="2"/>
  <c r="AE128" i="2"/>
  <c r="AG128" i="2" s="1"/>
  <c r="AF128" i="2"/>
  <c r="AE127" i="2"/>
  <c r="F22" i="2"/>
  <c r="M22" i="2" s="1"/>
  <c r="E52" i="2"/>
  <c r="E1" i="2"/>
  <c r="E124" i="2" s="1"/>
  <c r="D1" i="3"/>
  <c r="Y39" i="2"/>
  <c r="Y40" i="2"/>
  <c r="Y41" i="2"/>
  <c r="AB41" i="2" s="1"/>
  <c r="Q23" i="3" l="1"/>
  <c r="R23" i="3" s="1"/>
  <c r="I18" i="3"/>
  <c r="Z39" i="2"/>
  <c r="AF39" i="2" s="1"/>
  <c r="AG139" i="2"/>
  <c r="AG155" i="2"/>
  <c r="AG171" i="2"/>
  <c r="AG187" i="2"/>
  <c r="AG203" i="2"/>
  <c r="AG219" i="2"/>
  <c r="AG235" i="2"/>
  <c r="AG261" i="2"/>
  <c r="L58" i="1"/>
  <c r="E116" i="2" s="1"/>
  <c r="N118" i="2" s="1"/>
  <c r="M145" i="2" s="1"/>
  <c r="S74" i="2"/>
  <c r="AG129" i="2"/>
  <c r="AG136" i="2"/>
  <c r="AG145" i="2"/>
  <c r="AG152" i="2"/>
  <c r="AG161" i="2"/>
  <c r="AG168" i="2"/>
  <c r="AG177" i="2"/>
  <c r="AG184" i="2"/>
  <c r="AG193" i="2"/>
  <c r="AG200" i="2"/>
  <c r="AG209" i="2"/>
  <c r="AG216" i="2"/>
  <c r="AG225" i="2"/>
  <c r="AG232" i="2"/>
  <c r="AG246" i="2"/>
  <c r="AG258" i="2"/>
  <c r="Q35" i="3"/>
  <c r="S35" i="3" s="1"/>
  <c r="S73" i="2"/>
  <c r="S75" i="2" s="1"/>
  <c r="AG133" i="2"/>
  <c r="AG135" i="2"/>
  <c r="AG140" i="2"/>
  <c r="AG149" i="2"/>
  <c r="AG151" i="2"/>
  <c r="AG156" i="2"/>
  <c r="AG165" i="2"/>
  <c r="AG167" i="2"/>
  <c r="AG172" i="2"/>
  <c r="AG181" i="2"/>
  <c r="AG183" i="2"/>
  <c r="AG188" i="2"/>
  <c r="AG197" i="2"/>
  <c r="AG199" i="2"/>
  <c r="AG204" i="2"/>
  <c r="AG213" i="2"/>
  <c r="AG215" i="2"/>
  <c r="AG220" i="2"/>
  <c r="AG229" i="2"/>
  <c r="AG231" i="2"/>
  <c r="AG236" i="2"/>
  <c r="AG250" i="2"/>
  <c r="AG252" i="2"/>
  <c r="AG262" i="2"/>
  <c r="K40" i="2"/>
  <c r="K42" i="2" s="1"/>
  <c r="F46" i="2" s="1"/>
  <c r="M46" i="2" s="1"/>
  <c r="E62" i="2" s="1"/>
  <c r="Z40" i="2"/>
  <c r="AB40" i="2" s="1"/>
  <c r="AB42" i="2" s="1"/>
  <c r="E64" i="2"/>
  <c r="J54" i="2"/>
  <c r="I62" i="2" s="1"/>
  <c r="U24" i="3"/>
  <c r="K39" i="2"/>
  <c r="S23" i="3"/>
  <c r="F136" i="2"/>
  <c r="F118" i="2"/>
  <c r="O147" i="2"/>
  <c r="N16" i="3" s="1"/>
  <c r="K122" i="2"/>
  <c r="AC39" i="2"/>
  <c r="AB39" i="2"/>
  <c r="AB38" i="2" s="1"/>
  <c r="AD39" i="2"/>
  <c r="AE39" i="2"/>
  <c r="AA39" i="2"/>
  <c r="R35" i="3"/>
  <c r="U35" i="3" s="1"/>
  <c r="T36" i="3"/>
  <c r="AD40" i="2"/>
  <c r="AA41" i="2"/>
  <c r="AF41" i="2"/>
  <c r="AE41" i="2"/>
  <c r="AD41" i="2"/>
  <c r="AC41" i="2"/>
  <c r="S36" i="3"/>
  <c r="AE40" i="2" l="1"/>
  <c r="AE38" i="2" s="1"/>
  <c r="AC40" i="2"/>
  <c r="AA40" i="2"/>
  <c r="AA38" i="2" s="1"/>
  <c r="AF40" i="2"/>
  <c r="AF38" i="2" s="1"/>
  <c r="U23" i="3"/>
  <c r="I42" i="3"/>
  <c r="I30" i="3"/>
  <c r="U36" i="3"/>
  <c r="AC42" i="2"/>
  <c r="AD42" i="2"/>
  <c r="AC38" i="2"/>
  <c r="AE42" i="2"/>
  <c r="F145" i="2"/>
  <c r="N28" i="3"/>
  <c r="N40" i="3"/>
  <c r="M62" i="2"/>
  <c r="F26" i="2"/>
  <c r="E30" i="2" s="1"/>
  <c r="AA42" i="2"/>
  <c r="AD38" i="2"/>
  <c r="AF42" i="2" l="1"/>
  <c r="K118" i="2"/>
  <c r="J145" i="2" s="1"/>
  <c r="J136" i="2"/>
  <c r="I118" i="2"/>
  <c r="H136" i="2"/>
  <c r="H145" i="2" l="1"/>
  <c r="O145" i="2" s="1"/>
  <c r="E120" i="2"/>
  <c r="I120" i="2" s="1"/>
  <c r="E138" i="2"/>
  <c r="S138" i="2" l="1"/>
  <c r="Q143" i="2"/>
  <c r="T142" i="2"/>
  <c r="U143" i="2"/>
  <c r="X142" i="2"/>
  <c r="V147" i="2"/>
  <c r="I14" i="3"/>
  <c r="Q139" i="2"/>
  <c r="Q142" i="2"/>
  <c r="R143" i="2"/>
  <c r="U142" i="2"/>
  <c r="V143" i="2"/>
  <c r="V146" i="2"/>
  <c r="W147" i="2"/>
  <c r="Q138" i="2"/>
  <c r="R139" i="2"/>
  <c r="R142" i="2"/>
  <c r="S143" i="2"/>
  <c r="V142" i="2"/>
  <c r="W143" i="2"/>
  <c r="W146" i="2"/>
  <c r="X147" i="2"/>
  <c r="R138" i="2"/>
  <c r="S139" i="2"/>
  <c r="S142" i="2"/>
  <c r="T143" i="2"/>
  <c r="W142" i="2"/>
  <c r="X143" i="2"/>
  <c r="X146" i="2"/>
  <c r="X148" i="2" s="1"/>
  <c r="I16" i="3"/>
  <c r="O149" i="2"/>
  <c r="Q140" i="2" l="1"/>
  <c r="R140" i="2"/>
  <c r="W144" i="2"/>
  <c r="V144" i="2"/>
  <c r="U144" i="2"/>
  <c r="S144" i="2"/>
  <c r="W148" i="2"/>
  <c r="R144" i="2"/>
  <c r="V148" i="2"/>
  <c r="Q144" i="2"/>
  <c r="T144" i="2"/>
  <c r="X144" i="2"/>
  <c r="S140" i="2"/>
  <c r="I40" i="3"/>
  <c r="I28" i="3"/>
  <c r="I36" i="3"/>
  <c r="I37" i="3" s="1"/>
  <c r="I24" i="3"/>
  <c r="I25" i="3" s="1"/>
  <c r="R146" i="2" l="1"/>
  <c r="R147" i="2" s="1"/>
  <c r="R149" i="2" s="1"/>
  <c r="J158" i="2" l="1"/>
  <c r="AH141" i="2"/>
  <c r="AI141" i="2" s="1"/>
  <c r="AH157" i="2"/>
  <c r="AI157" i="2" s="1"/>
  <c r="AH173" i="2"/>
  <c r="AI173" i="2" s="1"/>
  <c r="AH189" i="2"/>
  <c r="AI189" i="2" s="1"/>
  <c r="AH205" i="2"/>
  <c r="AI205" i="2" s="1"/>
  <c r="AH221" i="2"/>
  <c r="AI221" i="2" s="1"/>
  <c r="AH237" i="2"/>
  <c r="AI237" i="2" s="1"/>
  <c r="AH263" i="2"/>
  <c r="AI263" i="2" s="1"/>
  <c r="AH198" i="2"/>
  <c r="AI198" i="2" s="1"/>
  <c r="AH139" i="2"/>
  <c r="AI139" i="2" s="1"/>
  <c r="AH155" i="2"/>
  <c r="AI155" i="2" s="1"/>
  <c r="AH176" i="2"/>
  <c r="AI176" i="2" s="1"/>
  <c r="AH192" i="2"/>
  <c r="AI192" i="2" s="1"/>
  <c r="AH214" i="2"/>
  <c r="AI214" i="2" s="1"/>
  <c r="AH230" i="2"/>
  <c r="AI230" i="2" s="1"/>
  <c r="AH251" i="2"/>
  <c r="AI251" i="2" s="1"/>
  <c r="AH133" i="2"/>
  <c r="AI133" i="2" s="1"/>
  <c r="AH149" i="2"/>
  <c r="AI149" i="2" s="1"/>
  <c r="AH165" i="2"/>
  <c r="AI165" i="2" s="1"/>
  <c r="AH181" i="2"/>
  <c r="AI181" i="2" s="1"/>
  <c r="AH197" i="2"/>
  <c r="AI197" i="2" s="1"/>
  <c r="AH213" i="2"/>
  <c r="AI213" i="2" s="1"/>
  <c r="AH229" i="2"/>
  <c r="AI229" i="2" s="1"/>
  <c r="AH250" i="2"/>
  <c r="AI250" i="2" s="1"/>
  <c r="AH131" i="2"/>
  <c r="AI131" i="2" s="1"/>
  <c r="AH147" i="2"/>
  <c r="AI147" i="2" s="1"/>
  <c r="AH163" i="2"/>
  <c r="AI163" i="2" s="1"/>
  <c r="AH179" i="2"/>
  <c r="AI179" i="2" s="1"/>
  <c r="AH195" i="2"/>
  <c r="AI195" i="2" s="1"/>
  <c r="AH211" i="2"/>
  <c r="AI211" i="2" s="1"/>
  <c r="AH227" i="2"/>
  <c r="AI227" i="2" s="1"/>
  <c r="AH248" i="2"/>
  <c r="AI248" i="2" s="1"/>
  <c r="AH177" i="2"/>
  <c r="AI177" i="2" s="1"/>
  <c r="AH209" i="2"/>
  <c r="AI209" i="2" s="1"/>
  <c r="AH246" i="2"/>
  <c r="AI246" i="2" s="1"/>
  <c r="AH140" i="2"/>
  <c r="AI140" i="2" s="1"/>
  <c r="AH220" i="2"/>
  <c r="AI220" i="2" s="1"/>
  <c r="AH142" i="2"/>
  <c r="AI142" i="2" s="1"/>
  <c r="AH190" i="2"/>
  <c r="AI190" i="2" s="1"/>
  <c r="AH238" i="2"/>
  <c r="AI238" i="2" s="1"/>
  <c r="AH138" i="2"/>
  <c r="AI138" i="2" s="1"/>
  <c r="AH154" i="2"/>
  <c r="AI154" i="2" s="1"/>
  <c r="AH170" i="2"/>
  <c r="AI170" i="2" s="1"/>
  <c r="AH186" i="2"/>
  <c r="AI186" i="2" s="1"/>
  <c r="AH202" i="2"/>
  <c r="AI202" i="2" s="1"/>
  <c r="AH218" i="2"/>
  <c r="AI218" i="2" s="1"/>
  <c r="AH234" i="2"/>
  <c r="AI234" i="2" s="1"/>
  <c r="AH260" i="2"/>
  <c r="AI260" i="2" s="1"/>
  <c r="AH137" i="2"/>
  <c r="AI137" i="2" s="1"/>
  <c r="AH153" i="2"/>
  <c r="AI153" i="2" s="1"/>
  <c r="AH169" i="2"/>
  <c r="AI169" i="2" s="1"/>
  <c r="AH187" i="2"/>
  <c r="AI187" i="2" s="1"/>
  <c r="AH208" i="2"/>
  <c r="AI208" i="2" s="1"/>
  <c r="AH224" i="2"/>
  <c r="AI224" i="2" s="1"/>
  <c r="AH240" i="2"/>
  <c r="AI240" i="2" s="1"/>
  <c r="AH130" i="2"/>
  <c r="AI130" i="2" s="1"/>
  <c r="AH146" i="2"/>
  <c r="AI146" i="2" s="1"/>
  <c r="AH162" i="2"/>
  <c r="AI162" i="2" s="1"/>
  <c r="AH178" i="2"/>
  <c r="AI178" i="2" s="1"/>
  <c r="AH194" i="2"/>
  <c r="AI194" i="2" s="1"/>
  <c r="AH210" i="2"/>
  <c r="AI210" i="2" s="1"/>
  <c r="AH226" i="2"/>
  <c r="AI226" i="2" s="1"/>
  <c r="AH247" i="2"/>
  <c r="AI247" i="2" s="1"/>
  <c r="AH129" i="2"/>
  <c r="AI129" i="2" s="1"/>
  <c r="AH145" i="2"/>
  <c r="AI145" i="2" s="1"/>
  <c r="AH161" i="2"/>
  <c r="AI161" i="2" s="1"/>
  <c r="AH193" i="2"/>
  <c r="AI193" i="2" s="1"/>
  <c r="AH225" i="2"/>
  <c r="AI225" i="2" s="1"/>
  <c r="AH148" i="2"/>
  <c r="AI148" i="2" s="1"/>
  <c r="AH164" i="2"/>
  <c r="AI164" i="2" s="1"/>
  <c r="AH180" i="2"/>
  <c r="AI180" i="2" s="1"/>
  <c r="AH196" i="2"/>
  <c r="AI196" i="2" s="1"/>
  <c r="AH228" i="2"/>
  <c r="AI228" i="2" s="1"/>
  <c r="AH249" i="2"/>
  <c r="AI249" i="2" s="1"/>
  <c r="AH166" i="2"/>
  <c r="AI166" i="2" s="1"/>
  <c r="AH203" i="2"/>
  <c r="AI203" i="2" s="1"/>
  <c r="AH235" i="2"/>
  <c r="AI235" i="2" s="1"/>
  <c r="AH156" i="2"/>
  <c r="AI156" i="2" s="1"/>
  <c r="AH188" i="2"/>
  <c r="AI188" i="2" s="1"/>
  <c r="AH236" i="2"/>
  <c r="AI236" i="2" s="1"/>
  <c r="AH158" i="2"/>
  <c r="AI158" i="2" s="1"/>
  <c r="AH206" i="2"/>
  <c r="AI206" i="2" s="1"/>
  <c r="AH264" i="2"/>
  <c r="AI264" i="2" s="1"/>
  <c r="AH171" i="2"/>
  <c r="AI171" i="2" s="1"/>
  <c r="AH143" i="2"/>
  <c r="AI143" i="2" s="1"/>
  <c r="AH159" i="2"/>
  <c r="AI159" i="2" s="1"/>
  <c r="AH175" i="2"/>
  <c r="AI175" i="2" s="1"/>
  <c r="AH191" i="2"/>
  <c r="AI191" i="2" s="1"/>
  <c r="AH207" i="2"/>
  <c r="AI207" i="2" s="1"/>
  <c r="AH223" i="2"/>
  <c r="AI223" i="2" s="1"/>
  <c r="AH239" i="2"/>
  <c r="AI239" i="2" s="1"/>
  <c r="AH128" i="2"/>
  <c r="AI128" i="2" s="1"/>
  <c r="AH144" i="2"/>
  <c r="AI144" i="2" s="1"/>
  <c r="AH160" i="2"/>
  <c r="AI160" i="2" s="1"/>
  <c r="AH182" i="2"/>
  <c r="AI182" i="2" s="1"/>
  <c r="AH201" i="2"/>
  <c r="AI201" i="2" s="1"/>
  <c r="AH217" i="2"/>
  <c r="AI217" i="2" s="1"/>
  <c r="AH233" i="2"/>
  <c r="AI233" i="2" s="1"/>
  <c r="AH259" i="2"/>
  <c r="AI259" i="2" s="1"/>
  <c r="AH135" i="2"/>
  <c r="AI135" i="2" s="1"/>
  <c r="AH151" i="2"/>
  <c r="AI151" i="2" s="1"/>
  <c r="AH167" i="2"/>
  <c r="AI167" i="2" s="1"/>
  <c r="AH183" i="2"/>
  <c r="AI183" i="2" s="1"/>
  <c r="AH199" i="2"/>
  <c r="AI199" i="2" s="1"/>
  <c r="AH215" i="2"/>
  <c r="AI215" i="2" s="1"/>
  <c r="AH231" i="2"/>
  <c r="AI231" i="2" s="1"/>
  <c r="AH252" i="2"/>
  <c r="AI252" i="2" s="1"/>
  <c r="AH136" i="2"/>
  <c r="AI136" i="2" s="1"/>
  <c r="AH152" i="2"/>
  <c r="AI152" i="2" s="1"/>
  <c r="AH168" i="2"/>
  <c r="AI168" i="2" s="1"/>
  <c r="AH184" i="2"/>
  <c r="AI184" i="2" s="1"/>
  <c r="AH200" i="2"/>
  <c r="AI200" i="2" s="1"/>
  <c r="AH216" i="2"/>
  <c r="AI216" i="2" s="1"/>
  <c r="AH232" i="2"/>
  <c r="AI232" i="2" s="1"/>
  <c r="AH258" i="2"/>
  <c r="AI258" i="2" s="1"/>
  <c r="AH132" i="2"/>
  <c r="AI132" i="2" s="1"/>
  <c r="AH212" i="2"/>
  <c r="AI212" i="2" s="1"/>
  <c r="AH134" i="2"/>
  <c r="AI134" i="2" s="1"/>
  <c r="AH150" i="2"/>
  <c r="AI150" i="2" s="1"/>
  <c r="AH185" i="2"/>
  <c r="AI185" i="2" s="1"/>
  <c r="AH219" i="2"/>
  <c r="AI219" i="2" s="1"/>
  <c r="AH261" i="2"/>
  <c r="AI261" i="2" s="1"/>
  <c r="AH172" i="2"/>
  <c r="AI172" i="2" s="1"/>
  <c r="AH204" i="2"/>
  <c r="AI204" i="2" s="1"/>
  <c r="AH262" i="2"/>
  <c r="AI262" i="2" s="1"/>
  <c r="AH174" i="2"/>
  <c r="AI174" i="2" s="1"/>
  <c r="AH222" i="2"/>
  <c r="AI222" i="2" s="1"/>
  <c r="AI274" i="2" l="1"/>
  <c r="AJ215" i="2" s="1"/>
  <c r="AK215" i="2" s="1"/>
  <c r="AJ263" i="2" l="1"/>
  <c r="AK263" i="2" s="1"/>
  <c r="AJ238" i="2"/>
  <c r="AK238" i="2" s="1"/>
  <c r="AJ196" i="2"/>
  <c r="AK196" i="2" s="1"/>
  <c r="AJ136" i="2"/>
  <c r="AK136" i="2" s="1"/>
  <c r="AJ204" i="2"/>
  <c r="AK204" i="2" s="1"/>
  <c r="AJ222" i="2"/>
  <c r="AK222" i="2" s="1"/>
  <c r="AJ189" i="2"/>
  <c r="AK189" i="2" s="1"/>
  <c r="AJ181" i="2"/>
  <c r="AK181" i="2" s="1"/>
  <c r="AJ140" i="2"/>
  <c r="AK140" i="2" s="1"/>
  <c r="AJ225" i="2"/>
  <c r="AK225" i="2" s="1"/>
  <c r="AJ171" i="2"/>
  <c r="AK171" i="2" s="1"/>
  <c r="AJ199" i="2"/>
  <c r="AK199" i="2" s="1"/>
  <c r="AJ185" i="2"/>
  <c r="AK185" i="2" s="1"/>
  <c r="AJ128" i="2"/>
  <c r="AJ155" i="2"/>
  <c r="AK155" i="2" s="1"/>
  <c r="AJ163" i="2"/>
  <c r="AK163" i="2" s="1"/>
  <c r="AJ178" i="2"/>
  <c r="AK178" i="2" s="1"/>
  <c r="AJ251" i="2"/>
  <c r="AK251" i="2" s="1"/>
  <c r="AJ248" i="2"/>
  <c r="AK248" i="2" s="1"/>
  <c r="AJ260" i="2"/>
  <c r="AK260" i="2" s="1"/>
  <c r="AJ129" i="2"/>
  <c r="AK129" i="2" s="1"/>
  <c r="AJ236" i="2"/>
  <c r="AK236" i="2" s="1"/>
  <c r="AJ135" i="2"/>
  <c r="AK135" i="2" s="1"/>
  <c r="AJ132" i="2"/>
  <c r="AK132" i="2" s="1"/>
  <c r="AJ184" i="2"/>
  <c r="AK184" i="2" s="1"/>
  <c r="AJ174" i="2"/>
  <c r="AK174" i="2" s="1"/>
  <c r="AJ237" i="2"/>
  <c r="AK237" i="2" s="1"/>
  <c r="AJ229" i="2"/>
  <c r="AK229" i="2" s="1"/>
  <c r="AJ190" i="2"/>
  <c r="AK190" i="2" s="1"/>
  <c r="AJ240" i="2"/>
  <c r="AK240" i="2" s="1"/>
  <c r="AJ180" i="2"/>
  <c r="AK180" i="2" s="1"/>
  <c r="AJ175" i="2"/>
  <c r="AK175" i="2" s="1"/>
  <c r="AJ252" i="2"/>
  <c r="AK252" i="2" s="1"/>
  <c r="AJ261" i="2"/>
  <c r="AK261" i="2" s="1"/>
  <c r="AJ139" i="2"/>
  <c r="AK139" i="2" s="1"/>
  <c r="AJ147" i="2"/>
  <c r="AK147" i="2" s="1"/>
  <c r="AJ154" i="2"/>
  <c r="AK154" i="2" s="1"/>
  <c r="AJ162" i="2"/>
  <c r="AK162" i="2" s="1"/>
  <c r="AJ249" i="2"/>
  <c r="AK249" i="2" s="1"/>
  <c r="AJ223" i="2"/>
  <c r="AK223" i="2" s="1"/>
  <c r="AJ231" i="2"/>
  <c r="AK231" i="2" s="1"/>
  <c r="AJ205" i="2"/>
  <c r="AK205" i="2" s="1"/>
  <c r="AJ197" i="2"/>
  <c r="AK197" i="2" s="1"/>
  <c r="AJ220" i="2"/>
  <c r="AK220" i="2" s="1"/>
  <c r="AJ208" i="2"/>
  <c r="AK208" i="2" s="1"/>
  <c r="AJ148" i="2"/>
  <c r="AK148" i="2" s="1"/>
  <c r="AJ143" i="2"/>
  <c r="AK143" i="2" s="1"/>
  <c r="AJ151" i="2"/>
  <c r="AK151" i="2" s="1"/>
  <c r="AJ212" i="2"/>
  <c r="AK212" i="2" s="1"/>
  <c r="AJ179" i="2"/>
  <c r="AK179" i="2" s="1"/>
  <c r="AJ186" i="2"/>
  <c r="AK186" i="2" s="1"/>
  <c r="AJ194" i="2"/>
  <c r="AK194" i="2" s="1"/>
  <c r="AJ203" i="2"/>
  <c r="AK203" i="2" s="1"/>
  <c r="AJ201" i="2"/>
  <c r="AK201" i="2" s="1"/>
  <c r="AJ200" i="2"/>
  <c r="AK200" i="2" s="1"/>
  <c r="AJ183" i="2"/>
  <c r="AK183" i="2" s="1"/>
  <c r="AJ232" i="2"/>
  <c r="AK232" i="2" s="1"/>
  <c r="AJ173" i="2"/>
  <c r="AK173" i="2" s="1"/>
  <c r="AJ165" i="2"/>
  <c r="AK165" i="2" s="1"/>
  <c r="AJ246" i="2"/>
  <c r="AK246" i="2" s="1"/>
  <c r="AJ169" i="2"/>
  <c r="AK169" i="2" s="1"/>
  <c r="AJ193" i="2"/>
  <c r="AK193" i="2" s="1"/>
  <c r="AJ264" i="2"/>
  <c r="AK264" i="2" s="1"/>
  <c r="AJ259" i="2"/>
  <c r="AK259" i="2" s="1"/>
  <c r="AJ168" i="2"/>
  <c r="AK168" i="2" s="1"/>
  <c r="AJ221" i="2"/>
  <c r="AK221" i="2" s="1"/>
  <c r="AJ213" i="2"/>
  <c r="AK213" i="2" s="1"/>
  <c r="AJ142" i="2"/>
  <c r="AK142" i="2" s="1"/>
  <c r="AJ224" i="2"/>
  <c r="AK224" i="2" s="1"/>
  <c r="AJ164" i="2"/>
  <c r="AK164" i="2" s="1"/>
  <c r="AJ159" i="2"/>
  <c r="AK159" i="2" s="1"/>
  <c r="AJ167" i="2"/>
  <c r="AK167" i="2" s="1"/>
  <c r="AJ141" i="2"/>
  <c r="AK141" i="2" s="1"/>
  <c r="AJ133" i="2"/>
  <c r="AK133" i="2" s="1"/>
  <c r="AJ177" i="2"/>
  <c r="AK177" i="2" s="1"/>
  <c r="AJ137" i="2"/>
  <c r="AK137" i="2" s="1"/>
  <c r="AJ145" i="2"/>
  <c r="AK145" i="2" s="1"/>
  <c r="AJ158" i="2"/>
  <c r="AK158" i="2" s="1"/>
  <c r="AJ217" i="2"/>
  <c r="AK217" i="2" s="1"/>
  <c r="AJ216" i="2"/>
  <c r="AK216" i="2" s="1"/>
  <c r="AJ230" i="2"/>
  <c r="AK230" i="2" s="1"/>
  <c r="AJ227" i="2"/>
  <c r="AK227" i="2" s="1"/>
  <c r="AJ234" i="2"/>
  <c r="AK234" i="2" s="1"/>
  <c r="AJ247" i="2"/>
  <c r="AK247" i="2" s="1"/>
  <c r="AJ188" i="2"/>
  <c r="AK188" i="2" s="1"/>
  <c r="AJ182" i="2"/>
  <c r="AK182" i="2" s="1"/>
  <c r="AJ172" i="2"/>
  <c r="AK172" i="2" s="1"/>
  <c r="AJ157" i="2"/>
  <c r="AK157" i="2" s="1"/>
  <c r="AJ149" i="2"/>
  <c r="AK149" i="2" s="1"/>
  <c r="AJ209" i="2"/>
  <c r="AK209" i="2" s="1"/>
  <c r="AJ153" i="2"/>
  <c r="AK153" i="2" s="1"/>
  <c r="AJ161" i="2"/>
  <c r="AK161" i="2" s="1"/>
  <c r="AJ206" i="2"/>
  <c r="AK206" i="2" s="1"/>
  <c r="AJ233" i="2"/>
  <c r="AK233" i="2" s="1"/>
  <c r="AJ262" i="2"/>
  <c r="AK262" i="2" s="1"/>
  <c r="AJ192" i="2"/>
  <c r="AK192" i="2" s="1"/>
  <c r="AJ195" i="2"/>
  <c r="AK195" i="2" s="1"/>
  <c r="AJ202" i="2"/>
  <c r="AK202" i="2" s="1"/>
  <c r="AJ210" i="2"/>
  <c r="AK210" i="2" s="1"/>
  <c r="AJ235" i="2"/>
  <c r="AK235" i="2" s="1"/>
  <c r="AJ144" i="2"/>
  <c r="AK144" i="2" s="1"/>
  <c r="AJ152" i="2"/>
  <c r="AK152" i="2" s="1"/>
  <c r="AJ176" i="2"/>
  <c r="AK176" i="2" s="1"/>
  <c r="AJ250" i="2"/>
  <c r="AK250" i="2" s="1"/>
  <c r="AJ130" i="2"/>
  <c r="AK130" i="2" s="1"/>
  <c r="AJ191" i="2"/>
  <c r="AK191" i="2" s="1"/>
  <c r="AJ187" i="2"/>
  <c r="AK187" i="2" s="1"/>
  <c r="AJ150" i="2"/>
  <c r="AK150" i="2" s="1"/>
  <c r="AJ170" i="2"/>
  <c r="AK170" i="2" s="1"/>
  <c r="AJ166" i="2"/>
  <c r="AK166" i="2" s="1"/>
  <c r="AJ239" i="2"/>
  <c r="AK239" i="2" s="1"/>
  <c r="AJ258" i="2"/>
  <c r="AK258" i="2" s="1"/>
  <c r="AJ219" i="2"/>
  <c r="AK219" i="2" s="1"/>
  <c r="AJ214" i="2"/>
  <c r="AK214" i="2" s="1"/>
  <c r="AJ211" i="2"/>
  <c r="AK211" i="2" s="1"/>
  <c r="AJ218" i="2"/>
  <c r="AK218" i="2" s="1"/>
  <c r="AJ226" i="2"/>
  <c r="AK226" i="2" s="1"/>
  <c r="AJ156" i="2"/>
  <c r="AK156" i="2" s="1"/>
  <c r="AJ160" i="2"/>
  <c r="AK160" i="2" s="1"/>
  <c r="AJ134" i="2"/>
  <c r="AK134" i="2" s="1"/>
  <c r="AJ198" i="2"/>
  <c r="AK198" i="2" s="1"/>
  <c r="AJ131" i="2"/>
  <c r="AK131" i="2" s="1"/>
  <c r="AJ138" i="2"/>
  <c r="AK138" i="2" s="1"/>
  <c r="AJ146" i="2"/>
  <c r="AK146" i="2" s="1"/>
  <c r="AJ228" i="2"/>
  <c r="AK228" i="2" s="1"/>
  <c r="AJ207" i="2"/>
  <c r="AK207" i="2" s="1"/>
  <c r="AJ274" i="2" l="1"/>
  <c r="AK128" i="2"/>
  <c r="AK274" i="2" s="1"/>
  <c r="R160" i="2" s="1"/>
  <c r="R162" i="2" s="1"/>
  <c r="M158" i="2" s="1"/>
</calcChain>
</file>

<file path=xl/sharedStrings.xml><?xml version="1.0" encoding="utf-8"?>
<sst xmlns="http://schemas.openxmlformats.org/spreadsheetml/2006/main" count="975" uniqueCount="569">
  <si>
    <t>Definition der Situation</t>
  </si>
  <si>
    <t>1)</t>
  </si>
  <si>
    <t>1.1)</t>
  </si>
  <si>
    <t>m²</t>
  </si>
  <si>
    <t xml:space="preserve">Regenspende i  </t>
  </si>
  <si>
    <t>l/s.ha</t>
  </si>
  <si>
    <t>Dichte der zu erwartenden Leichtflüssigkeit</t>
  </si>
  <si>
    <t>Dichte γ =</t>
  </si>
  <si>
    <t>1.2)</t>
  </si>
  <si>
    <t>gewerbliches  Abwasser aus industriellen Prozessen, Fahrzeugwaschanlagen, Werkstätten, HD-Reiniger</t>
  </si>
  <si>
    <t>Anfallstellen</t>
  </si>
  <si>
    <t>Auslaufventile</t>
  </si>
  <si>
    <t>Stk.</t>
  </si>
  <si>
    <t>Versorgungsdruck</t>
  </si>
  <si>
    <t>bar</t>
  </si>
  <si>
    <t>DN 15 / 1/2"</t>
  </si>
  <si>
    <t>DN 20 / 3/4"</t>
  </si>
  <si>
    <t>DN 25 / 1"</t>
  </si>
  <si>
    <t>Autowaschanlagen</t>
  </si>
  <si>
    <t>Hochdruckreinigungsgeräte</t>
  </si>
  <si>
    <t>bis 0,85 kg/dm³</t>
  </si>
  <si>
    <t>bis 0,90 kg/dm³</t>
  </si>
  <si>
    <t>bis 0,95 kg/dm³</t>
  </si>
  <si>
    <t xml:space="preserve"> kg/dm³</t>
  </si>
  <si>
    <t>1.3)</t>
  </si>
  <si>
    <t>Schutz von auslaufenden Flüssigkeiten im Objektsbereich</t>
  </si>
  <si>
    <t>l/s</t>
  </si>
  <si>
    <t>2)</t>
  </si>
  <si>
    <t>2.1)</t>
  </si>
  <si>
    <t>Bestimmung der Nenngröße NS</t>
  </si>
  <si>
    <t>NS</t>
  </si>
  <si>
    <t>=</t>
  </si>
  <si>
    <t>(</t>
  </si>
  <si>
    <t>+</t>
  </si>
  <si>
    <t>.</t>
  </si>
  <si>
    <t>)</t>
  </si>
  <si>
    <t>ψ</t>
  </si>
  <si>
    <t>i</t>
  </si>
  <si>
    <t>A</t>
  </si>
  <si>
    <t>gewählt</t>
  </si>
  <si>
    <t>fx</t>
  </si>
  <si>
    <t>Qs2</t>
  </si>
  <si>
    <t>.......</t>
  </si>
  <si>
    <t>DN 15</t>
  </si>
  <si>
    <t>DN 20</t>
  </si>
  <si>
    <t>DN 25</t>
  </si>
  <si>
    <t>fd</t>
  </si>
  <si>
    <t>1.  Ventil</t>
  </si>
  <si>
    <t>2.  Ventil</t>
  </si>
  <si>
    <t>4.  Ventil</t>
  </si>
  <si>
    <t>5.  Ventil</t>
  </si>
  <si>
    <t>6.  Ventil</t>
  </si>
  <si>
    <t>γ</t>
  </si>
  <si>
    <t>gewählte Dichte</t>
  </si>
  <si>
    <t>Erforderliche Mineralölabscheideanlage nach EN 858</t>
  </si>
  <si>
    <r>
      <t xml:space="preserve">Mineralölabscheider </t>
    </r>
    <r>
      <rPr>
        <b/>
        <sz val="10"/>
        <rFont val="Tahoma"/>
        <family val="2"/>
      </rPr>
      <t>Zusammenstellung S-II-I-P</t>
    </r>
  </si>
  <si>
    <t>bis</t>
  </si>
  <si>
    <t>S-II-I-P</t>
  </si>
  <si>
    <t>S-I-P*</t>
  </si>
  <si>
    <t>*</t>
  </si>
  <si>
    <t>Klasse I Abscheider mit ausschließlicher Schwerkraftabscheidung</t>
  </si>
  <si>
    <r>
      <t xml:space="preserve">Mineralölabscheider </t>
    </r>
    <r>
      <rPr>
        <b/>
        <sz val="10"/>
        <rFont val="Tahoma"/>
        <family val="2"/>
      </rPr>
      <t xml:space="preserve">Zusammenstellung S-I-P </t>
    </r>
  </si>
  <si>
    <t>mit Filter-oder Platten-Einsätzen</t>
  </si>
  <si>
    <t>ausschließlich Schwerkraftabscheidung ohne Filter-oder Platten-Einsätzen</t>
  </si>
  <si>
    <t>2.2)</t>
  </si>
  <si>
    <t>3)</t>
  </si>
  <si>
    <t>3.1)</t>
  </si>
  <si>
    <t>3.2)</t>
  </si>
  <si>
    <t>3.3)</t>
  </si>
  <si>
    <t>Bestimmung des Schlammfangvolumens</t>
  </si>
  <si>
    <t>Vsf</t>
  </si>
  <si>
    <t>......</t>
  </si>
  <si>
    <t xml:space="preserve">a) Prozessabwasser mit geringen Schlammmengen </t>
  </si>
  <si>
    <t>c) für max. NS 9</t>
  </si>
  <si>
    <t>a) Tankstellen, Pkw-Wäsche von Hand, Teilewäsche</t>
  </si>
  <si>
    <t>bei 4 bar Versorgungsdruck</t>
  </si>
  <si>
    <t>/</t>
  </si>
  <si>
    <t>4bar</t>
  </si>
  <si>
    <t>b) Omnibus-Waschstände</t>
  </si>
  <si>
    <t>d) Kraftwerke, Maschinenbaubetriebe</t>
  </si>
  <si>
    <t>a) Waschplätze für Baustellenfahrzeuge, Baumaschinen</t>
  </si>
  <si>
    <t>und landwirtschaftliche Maschinen</t>
  </si>
  <si>
    <t>b) Lkw-Waschstände</t>
  </si>
  <si>
    <t xml:space="preserve">c) automatische Fahrzeugwaschanlagen, </t>
  </si>
  <si>
    <t>z.B.Portalwaschanlagen, Waschstrassen</t>
  </si>
  <si>
    <t>c) Abwasser aus Reparaturwerkstätten, Fahrzeugabstellflächen</t>
  </si>
  <si>
    <t>ja=1</t>
  </si>
  <si>
    <t>gewählt laut obiger Aufstellung</t>
  </si>
  <si>
    <t>Mindestschlammfangvolumen</t>
  </si>
  <si>
    <t xml:space="preserve">jedoch mindestens </t>
  </si>
  <si>
    <r>
      <t>Regenauffangflächen (</t>
    </r>
    <r>
      <rPr>
        <b/>
        <sz val="10"/>
        <rFont val="Tahoma"/>
        <family val="2"/>
      </rPr>
      <t>Fahrzeugabstellflächen</t>
    </r>
    <r>
      <rPr>
        <sz val="10"/>
        <rFont val="Tahoma"/>
        <family val="2"/>
      </rPr>
      <t>)</t>
    </r>
  </si>
  <si>
    <t>Oberflächenentwässerung von mineralölverschmutztem Regenwasser</t>
  </si>
  <si>
    <t>Objektsentwässerung von mineralölverschmutztem Betriebsabwasser</t>
  </si>
  <si>
    <t>.....</t>
  </si>
  <si>
    <t>Nenngröße des Abscheiders</t>
  </si>
  <si>
    <t>Erschwernisfaktor in Abhängigkeit von der Art des Abflusses</t>
  </si>
  <si>
    <t>Dichtefaktor für die maßgebende Flüssigkeit</t>
  </si>
  <si>
    <t>Regenspende in l/s*ha</t>
  </si>
  <si>
    <t>Niederschlagsfläche in ha</t>
  </si>
  <si>
    <t>gewählt für Hartbelag   =</t>
  </si>
  <si>
    <t>(siehe Dichte-Tabelle)</t>
  </si>
  <si>
    <t xml:space="preserve">laut Tabelle 4 entsprechend EN 858-2 gilt: </t>
  </si>
  <si>
    <r>
      <t>f</t>
    </r>
    <r>
      <rPr>
        <vertAlign val="subscript"/>
        <sz val="12"/>
        <rFont val="Tahoma"/>
        <family val="2"/>
      </rPr>
      <t>x</t>
    </r>
  </si>
  <si>
    <r>
      <t>Q</t>
    </r>
    <r>
      <rPr>
        <vertAlign val="subscript"/>
        <sz val="12"/>
        <rFont val="Tahoma"/>
        <family val="2"/>
      </rPr>
      <t>s</t>
    </r>
  </si>
  <si>
    <r>
      <t>Q</t>
    </r>
    <r>
      <rPr>
        <vertAlign val="subscript"/>
        <sz val="12"/>
        <rFont val="Tahoma"/>
        <family val="2"/>
      </rPr>
      <t>r</t>
    </r>
  </si>
  <si>
    <r>
      <t>f</t>
    </r>
    <r>
      <rPr>
        <vertAlign val="subscript"/>
        <sz val="12"/>
        <rFont val="Tahoma"/>
        <family val="2"/>
      </rPr>
      <t>d</t>
    </r>
  </si>
  <si>
    <r>
      <t>Q</t>
    </r>
    <r>
      <rPr>
        <vertAlign val="subscript"/>
        <sz val="10"/>
        <rFont val="Tahoma"/>
        <family val="2"/>
      </rPr>
      <t>r</t>
    </r>
  </si>
  <si>
    <r>
      <t>f</t>
    </r>
    <r>
      <rPr>
        <vertAlign val="subscript"/>
        <sz val="10"/>
        <rFont val="Tahoma"/>
        <family val="2"/>
      </rPr>
      <t>x</t>
    </r>
  </si>
  <si>
    <r>
      <t>Q</t>
    </r>
    <r>
      <rPr>
        <vertAlign val="subscript"/>
        <sz val="10"/>
        <rFont val="Tahoma"/>
        <family val="2"/>
      </rPr>
      <t>s</t>
    </r>
  </si>
  <si>
    <r>
      <t>f</t>
    </r>
    <r>
      <rPr>
        <vertAlign val="subscript"/>
        <sz val="10"/>
        <rFont val="Tahoma"/>
        <family val="2"/>
      </rPr>
      <t>d</t>
    </r>
  </si>
  <si>
    <r>
      <t>Q</t>
    </r>
    <r>
      <rPr>
        <b/>
        <vertAlign val="subscript"/>
        <sz val="12"/>
        <rFont val="Tahoma"/>
        <family val="2"/>
      </rPr>
      <t>r</t>
    </r>
  </si>
  <si>
    <r>
      <t>f</t>
    </r>
    <r>
      <rPr>
        <b/>
        <vertAlign val="subscript"/>
        <sz val="12"/>
        <rFont val="Tahoma"/>
        <family val="2"/>
      </rPr>
      <t>x</t>
    </r>
  </si>
  <si>
    <r>
      <t>Q</t>
    </r>
    <r>
      <rPr>
        <b/>
        <vertAlign val="subscript"/>
        <sz val="12"/>
        <rFont val="Tahoma"/>
        <family val="2"/>
      </rPr>
      <t>s</t>
    </r>
  </si>
  <si>
    <r>
      <t>Q</t>
    </r>
    <r>
      <rPr>
        <vertAlign val="subscript"/>
        <sz val="12"/>
        <rFont val="Tahoma"/>
        <family val="2"/>
      </rPr>
      <t>s2</t>
    </r>
  </si>
  <si>
    <r>
      <t>Q</t>
    </r>
    <r>
      <rPr>
        <vertAlign val="subscript"/>
        <sz val="12"/>
        <rFont val="Tahoma"/>
        <family val="2"/>
      </rPr>
      <t>s3</t>
    </r>
  </si>
  <si>
    <r>
      <t>Q</t>
    </r>
    <r>
      <rPr>
        <vertAlign val="subscript"/>
        <sz val="12"/>
        <rFont val="Tahoma"/>
        <family val="2"/>
      </rPr>
      <t>s4</t>
    </r>
  </si>
  <si>
    <r>
      <t>Q</t>
    </r>
    <r>
      <rPr>
        <b/>
        <vertAlign val="subscript"/>
        <sz val="10"/>
        <rFont val="Tahoma"/>
        <family val="2"/>
      </rPr>
      <t>s1(4bar)</t>
    </r>
  </si>
  <si>
    <r>
      <t>Q</t>
    </r>
    <r>
      <rPr>
        <vertAlign val="subscript"/>
        <sz val="12"/>
        <rFont val="Tahoma"/>
        <family val="2"/>
      </rPr>
      <t>s1(xbar)</t>
    </r>
  </si>
  <si>
    <r>
      <t>Q</t>
    </r>
    <r>
      <rPr>
        <b/>
        <vertAlign val="subscript"/>
        <sz val="12"/>
        <rFont val="Tahoma"/>
        <family val="2"/>
      </rPr>
      <t>s1(xbar)</t>
    </r>
  </si>
  <si>
    <r>
      <t xml:space="preserve">   Q</t>
    </r>
    <r>
      <rPr>
        <vertAlign val="subscript"/>
        <sz val="12"/>
        <rFont val="Tahoma"/>
        <family val="2"/>
      </rPr>
      <t>s1(4bar)</t>
    </r>
  </si>
  <si>
    <r>
      <t>Q</t>
    </r>
    <r>
      <rPr>
        <vertAlign val="subscript"/>
        <sz val="10"/>
        <rFont val="Tahoma"/>
        <family val="2"/>
      </rPr>
      <t>s1(xbar)</t>
    </r>
  </si>
  <si>
    <r>
      <t>Q</t>
    </r>
    <r>
      <rPr>
        <b/>
        <vertAlign val="subscript"/>
        <sz val="12"/>
        <rFont val="Tahoma"/>
        <family val="2"/>
      </rPr>
      <t>s2</t>
    </r>
  </si>
  <si>
    <r>
      <t>Q</t>
    </r>
    <r>
      <rPr>
        <vertAlign val="subscript"/>
        <sz val="12"/>
        <rFont val="Tahoma"/>
        <family val="2"/>
      </rPr>
      <t>s31</t>
    </r>
  </si>
  <si>
    <r>
      <t>Q</t>
    </r>
    <r>
      <rPr>
        <vertAlign val="subscript"/>
        <sz val="12"/>
        <rFont val="Tahoma"/>
        <family val="2"/>
      </rPr>
      <t>s32</t>
    </r>
  </si>
  <si>
    <r>
      <t>Q</t>
    </r>
    <r>
      <rPr>
        <vertAlign val="subscript"/>
        <sz val="10"/>
        <rFont val="Tahoma"/>
        <family val="2"/>
      </rPr>
      <t>s3</t>
    </r>
  </si>
  <si>
    <r>
      <t>Q</t>
    </r>
    <r>
      <rPr>
        <b/>
        <vertAlign val="subscript"/>
        <sz val="12"/>
        <rFont val="Tahoma"/>
        <family val="2"/>
      </rPr>
      <t>s3</t>
    </r>
    <r>
      <rPr>
        <sz val="10"/>
        <rFont val="Arial"/>
      </rPr>
      <t/>
    </r>
  </si>
  <si>
    <t>1. HD-Gerät</t>
  </si>
  <si>
    <t>2.,3.,4., usw. HD-Gerät</t>
  </si>
  <si>
    <t>x bar</t>
  </si>
  <si>
    <r>
      <t>Q</t>
    </r>
    <r>
      <rPr>
        <b/>
        <vertAlign val="subscript"/>
        <sz val="12"/>
        <rFont val="Tahoma"/>
        <family val="2"/>
      </rPr>
      <t>s4</t>
    </r>
  </si>
  <si>
    <r>
      <t>Q</t>
    </r>
    <r>
      <rPr>
        <vertAlign val="subscript"/>
        <sz val="10"/>
        <rFont val="Tahoma"/>
        <family val="2"/>
      </rPr>
      <t>s4</t>
    </r>
  </si>
  <si>
    <t>Leichtflüssigkeit</t>
  </si>
  <si>
    <t>Bemerkungen</t>
  </si>
  <si>
    <t>Maximale Löslichkeit in Wasser unter bestimmten Bedingungen</t>
  </si>
  <si>
    <t>Andere</t>
  </si>
  <si>
    <t>Essigsäureamylacetat</t>
  </si>
  <si>
    <t>Ja</t>
  </si>
  <si>
    <t>2,5 g/l</t>
  </si>
  <si>
    <t>a</t>
  </si>
  <si>
    <t>Essigsäureethylester</t>
  </si>
  <si>
    <t>Begrenzt</t>
  </si>
  <si>
    <t>86,0 g/l</t>
  </si>
  <si>
    <t>Nach gewisser Zeit Zersetzung in Essigsäure und Wasser</t>
  </si>
  <si>
    <t>Essigsäuremethylester</t>
  </si>
  <si>
    <t>0,93 bis 0,934</t>
  </si>
  <si>
    <t>292 g/l</t>
  </si>
  <si>
    <r>
      <t>a</t>
    </r>
    <r>
      <rPr>
        <sz val="8"/>
        <rFont val="Arial"/>
        <family val="2"/>
      </rPr>
      <t xml:space="preserve">  Insbesondere in geschossenen Behältern</t>
    </r>
  </si>
  <si>
    <t>7 g/l</t>
  </si>
  <si>
    <t>Nach gewisser Zeit Zersetzung in Essigsäure und Ethylalkohol</t>
  </si>
  <si>
    <t>Aceton</t>
  </si>
  <si>
    <t>Nein</t>
  </si>
  <si>
    <t>Unbegrenzt</t>
  </si>
  <si>
    <t>-</t>
  </si>
  <si>
    <t>Bernsteinöl</t>
  </si>
  <si>
    <t>Amylalkohol</t>
  </si>
  <si>
    <t>27 g/l</t>
  </si>
  <si>
    <t>Schädliche Gemische mit Wasser</t>
  </si>
  <si>
    <t>Benzol</t>
  </si>
  <si>
    <t>1,8 g/l</t>
  </si>
  <si>
    <t>Butylalkohol</t>
  </si>
  <si>
    <t>90 g/l</t>
  </si>
  <si>
    <t>Kohlenteeröl</t>
  </si>
  <si>
    <t>0,86 bis 0,89</t>
  </si>
  <si>
    <t>0,2 g/l</t>
  </si>
  <si>
    <t>Kresolöl</t>
  </si>
  <si>
    <t>20 g/l</t>
  </si>
  <si>
    <t>56,7 g/l</t>
  </si>
  <si>
    <t>Cyclohexan</t>
  </si>
  <si>
    <t>0,778 bis 0,779</t>
  </si>
  <si>
    <t>Fast unlöslich</t>
  </si>
  <si>
    <t>Dekaline</t>
  </si>
  <si>
    <t>0,870 bis 0,896</t>
  </si>
  <si>
    <t>Dieselkraftstoff, Dieselöl</t>
  </si>
  <si>
    <t>Dietylether</t>
  </si>
  <si>
    <t>75 g/l</t>
  </si>
  <si>
    <t>Ausgasung aus Ether-Wasser-Gemischen</t>
  </si>
  <si>
    <t>Dioxan</t>
  </si>
  <si>
    <r>
      <t>a</t>
    </r>
    <r>
      <rPr>
        <sz val="8"/>
        <rFont val="Arial"/>
        <family val="2"/>
      </rPr>
      <t xml:space="preserve">  Bei hohen Konzentrationen</t>
    </r>
  </si>
  <si>
    <t>Ethylalkohol</t>
  </si>
  <si>
    <t>Ethylbutyrat (n-Buttersäure-ethylester)</t>
  </si>
  <si>
    <t>6,2 g/l</t>
  </si>
  <si>
    <t>Ethylmethylketon</t>
  </si>
  <si>
    <t>Gut löslich</t>
  </si>
  <si>
    <t>Ameisensäureethylester</t>
  </si>
  <si>
    <t>0,919 bis 0,921</t>
  </si>
  <si>
    <t>110 g/l</t>
  </si>
  <si>
    <t>Ameisensäuremethylester</t>
  </si>
  <si>
    <t>0,969 bis 0,971</t>
  </si>
  <si>
    <t>300 g/l</t>
  </si>
  <si>
    <t>Heizöl, extraleicht</t>
  </si>
  <si>
    <t>Heizöl, leicht</t>
  </si>
  <si>
    <t>Heizöl, mittel</t>
  </si>
  <si>
    <t>Heizöl, schwer</t>
  </si>
  <si>
    <t>0,94 bis 0,99</t>
  </si>
  <si>
    <t>Begrenzt bei Dichten bis etwa 0,96 g/cm³</t>
  </si>
  <si>
    <t>Schwerbenzin</t>
  </si>
  <si>
    <t>0,70 bis 0,75</t>
  </si>
  <si>
    <t>Heptan</t>
  </si>
  <si>
    <t>Hexan</t>
  </si>
  <si>
    <t>iso-Amylalkohol</t>
  </si>
  <si>
    <t>30 g/l</t>
  </si>
  <si>
    <t>iso-Butylalkohol</t>
  </si>
  <si>
    <t>95 g/l</t>
  </si>
  <si>
    <r>
      <t>a</t>
    </r>
    <r>
      <rPr>
        <sz val="8"/>
        <rFont val="Arial"/>
        <family val="2"/>
      </rPr>
      <t xml:space="preserve">  An warmen Tagen</t>
    </r>
  </si>
  <si>
    <t>iso-Propylalkohol</t>
  </si>
  <si>
    <t>Kerosin (Flugbenzin)</t>
  </si>
  <si>
    <t>a  Wenn Sonnenlicht ausgesetzt</t>
  </si>
  <si>
    <t>Leichtöl = Heizöl, leicht</t>
  </si>
  <si>
    <t>Leichtbenzin = Benzin, Gemisch</t>
  </si>
  <si>
    <t>Holzteeröl = Kohlenteeröl</t>
  </si>
  <si>
    <t>Schmieröl</t>
  </si>
  <si>
    <t>0,89 bis 0,90</t>
  </si>
  <si>
    <t>Methylalkohol</t>
  </si>
  <si>
    <t>0,790 bis 0,791</t>
  </si>
  <si>
    <t>Methylcyclohexanol</t>
  </si>
  <si>
    <t>0,91 bis 0,94</t>
  </si>
  <si>
    <t>Terpentin</t>
  </si>
  <si>
    <t>0,86 bis 0,87</t>
  </si>
  <si>
    <r>
      <t>a</t>
    </r>
    <r>
      <rPr>
        <sz val="8"/>
        <rFont val="Arial"/>
        <family val="2"/>
      </rPr>
      <t xml:space="preserve">  Bei hohen Temperaturen</t>
    </r>
  </si>
  <si>
    <t>Parafinöl</t>
  </si>
  <si>
    <t>0,88 bis 0,94</t>
  </si>
  <si>
    <t>Pentan</t>
  </si>
  <si>
    <t>0,625 bis 0,626</t>
  </si>
  <si>
    <t>0,36 g/l</t>
  </si>
  <si>
    <t>Benzin, Gemisch</t>
  </si>
  <si>
    <t>0,77 bis 0,79</t>
  </si>
  <si>
    <t>Markenbenzin</t>
  </si>
  <si>
    <t>0,68 bis 0,75</t>
  </si>
  <si>
    <t>Benzin, Rennautos</t>
  </si>
  <si>
    <t>Petroleum</t>
  </si>
  <si>
    <t>Kiefernöl = Terpentinöl</t>
  </si>
  <si>
    <t>Propionsäureethylester</t>
  </si>
  <si>
    <t>0,889 bis 0,891</t>
  </si>
  <si>
    <t>22 g/l</t>
  </si>
  <si>
    <t>Propylalkohol</t>
  </si>
  <si>
    <t>Propylbutyrat</t>
  </si>
  <si>
    <t>0,3 g/l</t>
  </si>
  <si>
    <t>Teraline (Tetrahydronaphthalin)</t>
  </si>
  <si>
    <t>0,967 bis 0,969</t>
  </si>
  <si>
    <t>Testbenzin</t>
  </si>
  <si>
    <t>0,764 bis 0,794</t>
  </si>
  <si>
    <t>Toluol</t>
  </si>
  <si>
    <t>0,866 bis 0,867</t>
  </si>
  <si>
    <t>Traktorenöl = Dieselkraftstoff und Petroleum</t>
  </si>
  <si>
    <t>Transformatoröl (Isolieröl)</t>
  </si>
  <si>
    <t xml:space="preserve"> - PCB-frei</t>
  </si>
  <si>
    <t xml:space="preserve"> - PCB-haltig</t>
  </si>
  <si>
    <t>PCB = Polychlorierte Biphenyle</t>
  </si>
  <si>
    <t>Xylol</t>
  </si>
  <si>
    <t>0,862 bis 0,875</t>
  </si>
  <si>
    <r>
      <t xml:space="preserve">a </t>
    </r>
    <r>
      <rPr>
        <b/>
        <sz val="9"/>
        <rFont val="Arial"/>
        <family val="2"/>
      </rPr>
      <t xml:space="preserve">  Mögliche Bildung explosiver Luft-Gas-Gemische über der Wasseroberfläche</t>
    </r>
  </si>
  <si>
    <t>Ja. Bei Beurteilung Mischungsrezeptur hinzuziehen</t>
  </si>
  <si>
    <r>
      <t>f</t>
    </r>
    <r>
      <rPr>
        <vertAlign val="subscript"/>
        <sz val="12"/>
        <rFont val="Tahoma"/>
        <family val="2"/>
      </rPr>
      <t>sf</t>
    </r>
  </si>
  <si>
    <r>
      <t>V</t>
    </r>
    <r>
      <rPr>
        <b/>
        <vertAlign val="subscript"/>
        <sz val="12"/>
        <rFont val="Tahoma"/>
        <family val="2"/>
      </rPr>
      <t>sf</t>
    </r>
  </si>
  <si>
    <r>
      <t>f</t>
    </r>
    <r>
      <rPr>
        <b/>
        <vertAlign val="subscript"/>
        <sz val="12"/>
        <rFont val="Tahoma"/>
        <family val="2"/>
      </rPr>
      <t>sf</t>
    </r>
  </si>
  <si>
    <t>l</t>
  </si>
  <si>
    <t>m³</t>
  </si>
  <si>
    <t>kg/dm³</t>
  </si>
  <si>
    <t>Dichte bei              15 °C bis 20 °C (kg/dm³)</t>
  </si>
  <si>
    <t>Dichtefaktor laut Tabelle 3 entsprechend EN 858-2</t>
  </si>
  <si>
    <t>2.3)</t>
  </si>
  <si>
    <t>2.4)</t>
  </si>
  <si>
    <r>
      <t>V</t>
    </r>
    <r>
      <rPr>
        <vertAlign val="subscript"/>
        <sz val="10"/>
        <rFont val="Tahoma"/>
        <family val="2"/>
      </rPr>
      <t>sf</t>
    </r>
  </si>
  <si>
    <r>
      <t>f</t>
    </r>
    <r>
      <rPr>
        <vertAlign val="subscript"/>
        <sz val="10"/>
        <rFont val="Tahoma"/>
        <family val="2"/>
      </rPr>
      <t>sf</t>
    </r>
  </si>
  <si>
    <t>erforderliches Schlammfangvolumen</t>
  </si>
  <si>
    <t>für die weitere Berechnung werden die Dichtefaktoren aus obigen markierten Feldern herangezogen</t>
  </si>
  <si>
    <t>3.       Ventil</t>
  </si>
  <si>
    <t>Nenngröße</t>
  </si>
  <si>
    <t>Schlammfangvolumen</t>
  </si>
  <si>
    <t>mind. jedoch</t>
  </si>
  <si>
    <t>Schwimmer tariert auf Dichte</t>
  </si>
  <si>
    <t xml:space="preserve">Für die in der Eingabetabelle dargestellte Situation sind folgende Mineralölabscheidertype entsprechend EN 858 einsetzbar: </t>
  </si>
  <si>
    <t>Projekt:</t>
  </si>
  <si>
    <r>
      <t xml:space="preserve">Bemessung </t>
    </r>
    <r>
      <rPr>
        <b/>
        <sz val="12"/>
        <rFont val="Tahoma"/>
        <family val="2"/>
      </rPr>
      <t>einer Mineralölabscheideanlage nach EN 858-2</t>
    </r>
  </si>
  <si>
    <t>Type</t>
  </si>
  <si>
    <t>SF</t>
  </si>
  <si>
    <t>SMA-2/4-EN</t>
  </si>
  <si>
    <t>SMA-2/4-0,9-EN</t>
  </si>
  <si>
    <t>SMA-2/4-0,6-EN</t>
  </si>
  <si>
    <t>SMA-2/4-1,4-EN</t>
  </si>
  <si>
    <t>SMA-2/4-1,8-EN</t>
  </si>
  <si>
    <t>SMA-2/4-2,5-EN</t>
  </si>
  <si>
    <t>SMA-2/4-2,6-EN</t>
  </si>
  <si>
    <t>SMA-2/4-3,2-EN</t>
  </si>
  <si>
    <t>SMA-2/4-5,0-EN</t>
  </si>
  <si>
    <t>SMA-2/4-5,1-EN</t>
  </si>
  <si>
    <t>SMA-2/4-7,4-EN</t>
  </si>
  <si>
    <t>SMA-2/4-9,8-EN</t>
  </si>
  <si>
    <t>SMA-6/8-0,5-EN</t>
  </si>
  <si>
    <t>SMA-6/8-EN</t>
  </si>
  <si>
    <t>SMA-6/8-1,0-EN</t>
  </si>
  <si>
    <t>SMA-6/8-1,4-EN</t>
  </si>
  <si>
    <t>SMA-6/8-1,8-EN</t>
  </si>
  <si>
    <t>SMA-6/8-2,5-EN</t>
  </si>
  <si>
    <t>SMA-6/8-2,6-EN</t>
  </si>
  <si>
    <t>SMA-6/8-3,2-EN</t>
  </si>
  <si>
    <t>SMA-6/8-5,0-EN</t>
  </si>
  <si>
    <t>SMA-6/8-5,1-EN</t>
  </si>
  <si>
    <t>SMA-6/8-7,4-EN</t>
  </si>
  <si>
    <t>SMA-6/8-9,8-EN</t>
  </si>
  <si>
    <t>SMA-10/12-EN</t>
  </si>
  <si>
    <t>SMA-10/12-2,1-EN</t>
  </si>
  <si>
    <t>SMA-10/12-2,5-EN</t>
  </si>
  <si>
    <t>SMA-10/12-2,6-EN</t>
  </si>
  <si>
    <t>SMA-10/12-3,2-EN</t>
  </si>
  <si>
    <t>SMA-10/12-3,8-EN</t>
  </si>
  <si>
    <t>SMA-10/12-5,0-EN</t>
  </si>
  <si>
    <t>SMA-10/12-5,1-EN</t>
  </si>
  <si>
    <t>SMA-10/12-7,4-EN</t>
  </si>
  <si>
    <t>SMA-10/12-9,8-EN</t>
  </si>
  <si>
    <t>SMA-14/16-EN</t>
  </si>
  <si>
    <t>SMA-14/16-0,5-EN</t>
  </si>
  <si>
    <t>gewählt:</t>
  </si>
  <si>
    <t>6/8</t>
  </si>
  <si>
    <t>2/4</t>
  </si>
  <si>
    <t>10/12</t>
  </si>
  <si>
    <t>14/16</t>
  </si>
  <si>
    <t>mit  Platten-Koaleszenz-Einsätzen</t>
  </si>
  <si>
    <t>Anmerkung:</t>
  </si>
  <si>
    <r>
      <t>Waschplatz</t>
    </r>
    <r>
      <rPr>
        <b/>
        <sz val="10"/>
        <rFont val="Tahoma"/>
        <family val="2"/>
      </rPr>
      <t xml:space="preserve"> </t>
    </r>
    <r>
      <rPr>
        <sz val="9"/>
        <rFont val="Tahoma"/>
        <family val="2"/>
      </rPr>
      <t>für Lkw, Bau-u. landwirtschaftl. Maschinen</t>
    </r>
  </si>
  <si>
    <t>laut Eingabetabelle</t>
  </si>
  <si>
    <t xml:space="preserve">Projizierte Freifläche A1 </t>
  </si>
  <si>
    <t xml:space="preserve">Projizierte Freifläche A2 </t>
  </si>
  <si>
    <t>Die Regenspende i ist von den örtlichen Regendaten abhängig und ist entsprechend der behördlichen Auflagen anzusetzen.</t>
  </si>
  <si>
    <t>Schlammfangfaktor in Abhängigkeit vom Schlammanfall</t>
  </si>
  <si>
    <t>Abscheidbarkeit</t>
  </si>
  <si>
    <t>Essigsäure-n-butylester</t>
  </si>
  <si>
    <t>Cyclohexanol</t>
  </si>
  <si>
    <t>Anwendungsfall</t>
  </si>
  <si>
    <t>Bemerkung</t>
  </si>
  <si>
    <t>kein Anfall von Detergentien</t>
  </si>
  <si>
    <t>Regenwasser von Öllagern und Ölumschlagplätzen</t>
  </si>
  <si>
    <t>Regenwasser von Parkplätzen</t>
  </si>
  <si>
    <t>Regenwasser von Straßen usw. in besonderen Fällen</t>
  </si>
  <si>
    <t>5.1</t>
  </si>
  <si>
    <t>Bei Gebrauch von Reinigungsmitteln</t>
  </si>
  <si>
    <t>5.2</t>
  </si>
  <si>
    <t>Ohne Gebrauch von Reinigungsmitteln</t>
  </si>
  <si>
    <t>Autowäsche</t>
  </si>
  <si>
    <t>6.1</t>
  </si>
  <si>
    <t>Von Hand</t>
  </si>
  <si>
    <t>6.3</t>
  </si>
  <si>
    <t>Mit Hochdruckgeräten</t>
  </si>
  <si>
    <t>Reinigung von nicht ölverschmutzten Fahrzeugoberflächen</t>
  </si>
  <si>
    <t>Reinigung von ölverschmutzten Fahrzeugoberflächen</t>
  </si>
  <si>
    <t>6.4</t>
  </si>
  <si>
    <t>Unterbodenwäsche</t>
  </si>
  <si>
    <t>6.5</t>
  </si>
  <si>
    <t>6.6</t>
  </si>
  <si>
    <t>Motorwäsche</t>
  </si>
  <si>
    <t>7.1</t>
  </si>
  <si>
    <t>7.2</t>
  </si>
  <si>
    <t>Reinigen (außer Autowäsche)</t>
  </si>
  <si>
    <t>Reinigen von Motoren und Teilen</t>
  </si>
  <si>
    <t>Mit Hochdruckgerät</t>
  </si>
  <si>
    <t>Mit Rotationsreiniger</t>
  </si>
  <si>
    <t>Entfernen größerer Mengen von Paraffin, Wachs oder ähnlichem von neuen Fahrzeugen, einschließlich Rostschutzbehandlung</t>
  </si>
  <si>
    <t>Reinigung (Auslaufen und Leckage) von Fußböden von Werkstätten, Prüfinstituten, Fabriken usw.</t>
  </si>
  <si>
    <r>
      <t xml:space="preserve">- </t>
    </r>
    <r>
      <rPr>
        <vertAlign val="superscript"/>
        <sz val="10"/>
        <rFont val="Arial"/>
        <family val="2"/>
      </rPr>
      <t>a)</t>
    </r>
  </si>
  <si>
    <t>6.7</t>
  </si>
  <si>
    <t>In Waschanlagen "Portalwaschanlagen"</t>
  </si>
  <si>
    <t>In Waschanlagen     "Waschstraßen"</t>
  </si>
  <si>
    <t>2</t>
  </si>
  <si>
    <t xml:space="preserve">- </t>
  </si>
  <si>
    <r>
      <t>Erschwernisfaktor f</t>
    </r>
    <r>
      <rPr>
        <b/>
        <vertAlign val="subscript"/>
        <sz val="12"/>
        <rFont val="Arial"/>
        <family val="2"/>
      </rPr>
      <t>x</t>
    </r>
  </si>
  <si>
    <t>Mit Hochdruckreinigungsgerät in Selbstbedienung</t>
  </si>
  <si>
    <t>Beschickung des Mineralölabscheiders mittels Verdrängerpumpe</t>
  </si>
  <si>
    <r>
      <t>gewählter Erschwernisfaktor f</t>
    </r>
    <r>
      <rPr>
        <b/>
        <vertAlign val="subscript"/>
        <sz val="12"/>
        <rFont val="Tahoma"/>
        <family val="2"/>
      </rPr>
      <t>x</t>
    </r>
    <r>
      <rPr>
        <sz val="8"/>
        <rFont val="Tahoma"/>
        <family val="2"/>
      </rPr>
      <t xml:space="preserve"> (siehe Erschwernisfaktortabelle)</t>
    </r>
  </si>
  <si>
    <r>
      <t xml:space="preserve">a) </t>
    </r>
    <r>
      <rPr>
        <sz val="10"/>
        <rFont val="Arial"/>
        <family val="2"/>
      </rPr>
      <t>in der Bemessung ist laut EN 858 kein Erschwernisfaktor vorgesehen</t>
    </r>
  </si>
  <si>
    <r>
      <t xml:space="preserve">b) </t>
    </r>
    <r>
      <rPr>
        <sz val="10"/>
        <rFont val="Arial"/>
        <family val="2"/>
      </rPr>
      <t>hier wird der erhöhte Wasseranfall gegenüber einer Portalwaschanlage berücksichtigt</t>
    </r>
  </si>
  <si>
    <r>
      <t>6</t>
    </r>
    <r>
      <rPr>
        <vertAlign val="superscript"/>
        <sz val="10"/>
        <rFont val="Arial"/>
        <family val="2"/>
      </rPr>
      <t>b)</t>
    </r>
  </si>
  <si>
    <t>ANMERKUNG: Einige dieser Flüssigkeiten können die Werkstoffe der Innenwandungen von Schlammfang, Abscheider und Einbauteile stark angreifen. Es sollte deshalb darauf geachtet werden, Werkstoffe und/oder eine Oberflächenbehandlung vorzusehen, die dem Angriff solcher Leichtflüssigkeiten widerstehen.</t>
  </si>
  <si>
    <t xml:space="preserve">laut Tabelle 5 entsprechend 858-2 jedoch mindestens </t>
  </si>
  <si>
    <t>b) Regenauffangflächen (Straßen, Tankstellen usw.)</t>
  </si>
  <si>
    <t>maximale Regenabfluss in l/s</t>
  </si>
  <si>
    <t>Abflussbeiwert</t>
  </si>
  <si>
    <t>Schmutzwasserabfluss von Auslaufventilen</t>
  </si>
  <si>
    <t>Schmutzwasserabfluss von Autowaschanlagen</t>
  </si>
  <si>
    <t>Schmutzwasserabfluss von Hochdruckreinigungsgeräten</t>
  </si>
  <si>
    <t>Schmutzwasserabfluss von auslaufenden Leichtflüssigkeiten</t>
  </si>
  <si>
    <t>Erforderliche Mineralölabscheideanlage nach EN 858-2</t>
  </si>
  <si>
    <t>2.5)</t>
  </si>
  <si>
    <t xml:space="preserve">gewählter Mineralölabscheider: </t>
  </si>
  <si>
    <r>
      <t xml:space="preserve">erforderlicherAbscheider der Type </t>
    </r>
    <r>
      <rPr>
        <b/>
        <sz val="12"/>
        <rFont val="Tahoma"/>
        <family val="2"/>
      </rPr>
      <t>SW-EURO-SEDIRAT-EN:</t>
    </r>
  </si>
  <si>
    <t>SMA</t>
  </si>
  <si>
    <t>EN</t>
  </si>
  <si>
    <t>gesamter Schmutzwasserabfluss in l/s</t>
  </si>
  <si>
    <t>SMA-20-3,2-EN</t>
  </si>
  <si>
    <t>SMA-20-5,0-EN</t>
  </si>
  <si>
    <t>SMA-20-5,1-EN</t>
  </si>
  <si>
    <t>SMA-20-7,0-EN</t>
  </si>
  <si>
    <t>SMA-20-7,4-EN</t>
  </si>
  <si>
    <t>SMA-20-9,8-EN</t>
  </si>
  <si>
    <t>SMA-30-1,7-EN</t>
  </si>
  <si>
    <t>SMA-30-2,4-EN</t>
  </si>
  <si>
    <t>SMA-30-3,7-EN</t>
  </si>
  <si>
    <t>SMA-30-4,0-EN</t>
  </si>
  <si>
    <t>SMA-30-5,2-EN</t>
  </si>
  <si>
    <t>SMA-30-6,2-EN</t>
  </si>
  <si>
    <t>SMA-30-8,6-EN</t>
  </si>
  <si>
    <t>SMA-30-10,9-EN</t>
  </si>
  <si>
    <t>SMA-30-0,8-EN</t>
  </si>
  <si>
    <t>SMA-40-10,9-EN</t>
  </si>
  <si>
    <t>SMA-40-1,3-EN</t>
  </si>
  <si>
    <t>SMA-40-3,7-EN</t>
  </si>
  <si>
    <t>SMA-40-5,2-EN</t>
  </si>
  <si>
    <t>SMA-40-6,2-EN</t>
  </si>
  <si>
    <t>SMA-40-8,6-EN</t>
  </si>
  <si>
    <t>SMA-40-15,8-EN</t>
  </si>
  <si>
    <t>SMA-50-15,8-EN</t>
  </si>
  <si>
    <t>SMA-50-1,3-EN</t>
  </si>
  <si>
    <t>SMA-50-3,7-EN</t>
  </si>
  <si>
    <t>SMA-50-5,2-EN</t>
  </si>
  <si>
    <t>SMA-50-6,2-EN</t>
  </si>
  <si>
    <t>SMA-50-8,6-EN</t>
  </si>
  <si>
    <t>SMA-50-10,9-EN</t>
  </si>
  <si>
    <t>SMA-65-14,6-EN</t>
  </si>
  <si>
    <t>SMA-80-14,6-EN</t>
  </si>
  <si>
    <t>SMA-80-18,1-EN</t>
  </si>
  <si>
    <t>SMA-100-14,6-EN</t>
  </si>
  <si>
    <t>SMA-100-18,1-EN</t>
  </si>
  <si>
    <t>Überdachte, seitlich offene Flächen A3</t>
  </si>
  <si>
    <r>
      <t xml:space="preserve">Fläche  des </t>
    </r>
    <r>
      <rPr>
        <b/>
        <sz val="10"/>
        <rFont val="Tahoma"/>
        <family val="2"/>
      </rPr>
      <t>Schlagregens</t>
    </r>
    <r>
      <rPr>
        <sz val="10"/>
        <rFont val="Tahoma"/>
        <family val="2"/>
      </rPr>
      <t xml:space="preserve"> (Parkhaus)  </t>
    </r>
  </si>
  <si>
    <t>l / NS</t>
  </si>
  <si>
    <t>die maximal zu erwartende auslaufende Leichtflüssigkeits-menge ist anzugeben  (zb. bei Lagerung von Ölfässern)</t>
  </si>
  <si>
    <t>Waschplatz f. Baumaschinen und landwirtschaftliche Maschinen</t>
  </si>
  <si>
    <t xml:space="preserve">Nur Reinigung von Fahrzeugflächen, </t>
  </si>
  <si>
    <t xml:space="preserve">Nur Reinigung von Fahrzeugoberflächen, einschließlich Unterbodenwäsche (Niederdruck), </t>
  </si>
  <si>
    <t>mind. lt. EN 858-2</t>
  </si>
  <si>
    <r>
      <t>Empfohlen</t>
    </r>
    <r>
      <rPr>
        <vertAlign val="superscript"/>
        <sz val="10"/>
        <rFont val="Arial"/>
        <family val="2"/>
      </rPr>
      <t>c)</t>
    </r>
  </si>
  <si>
    <t>200 (100 bis NS 10)</t>
  </si>
  <si>
    <t>X * NS / fd           mind. lt. EN 858-2</t>
  </si>
  <si>
    <t>X * NS / fd          empfohlen</t>
  </si>
  <si>
    <t>Regenwasser von Tankstellen  (Betankungs- und Manipulationsbereich</t>
  </si>
  <si>
    <t>Allgemeine Anforderungen:                                            - für Mineralölabscheider der Klasse 1               - Reinigungsmittel entsprechend ÖNORMen  B 5104 B 5105 B 5106</t>
  </si>
  <si>
    <t>Arbeitsräume mit Bodenablauf</t>
  </si>
  <si>
    <t>6.2.1</t>
  </si>
  <si>
    <t>6.2.2</t>
  </si>
  <si>
    <t>6.3.1</t>
  </si>
  <si>
    <t>200 bzw. 300</t>
  </si>
  <si>
    <t>6.3.2</t>
  </si>
  <si>
    <t>SB - Freiwaschplätze</t>
  </si>
  <si>
    <t>In den meisten Fällen ist eine Emulsionstrennanlage oder weitgehende Abwasserbehandlung erforderlich</t>
  </si>
  <si>
    <t>_</t>
  </si>
  <si>
    <t>Schrottplätze (Havarieplätze)</t>
  </si>
  <si>
    <t>nur in Ausnahmefällen</t>
  </si>
  <si>
    <r>
      <t>gewählter    f</t>
    </r>
    <r>
      <rPr>
        <vertAlign val="subscript"/>
        <sz val="10"/>
        <rFont val="Arial"/>
        <family val="2"/>
      </rPr>
      <t>x</t>
    </r>
    <r>
      <rPr>
        <sz val="10"/>
        <rFont val="Arial"/>
      </rPr>
      <t xml:space="preserve"> * 2</t>
    </r>
  </si>
  <si>
    <r>
      <t xml:space="preserve">c) </t>
    </r>
    <r>
      <rPr>
        <sz val="10"/>
        <rFont val="Arial"/>
        <family val="2"/>
      </rPr>
      <t>die empfohlenen Erschwernisfaktoren sollten unter der Berücksichtigung von Emulsionsbildung bei  angeführten Prozessen zur erforderlichen Reinigungsleistung (Klasse I ) gewählt werden</t>
    </r>
  </si>
  <si>
    <r>
      <t>gewählter Schlammfangvolumen f</t>
    </r>
    <r>
      <rPr>
        <b/>
        <vertAlign val="subscript"/>
        <sz val="12"/>
        <rFont val="Tahoma"/>
        <family val="2"/>
      </rPr>
      <t>st</t>
    </r>
    <r>
      <rPr>
        <sz val="8"/>
        <rFont val="Tahoma"/>
        <family val="2"/>
      </rPr>
      <t xml:space="preserve"> </t>
    </r>
  </si>
  <si>
    <t>SMA-65-2,3-EN</t>
  </si>
  <si>
    <t>SMA-65-7,4-EN</t>
  </si>
  <si>
    <t>SMA-65-9,6-EN</t>
  </si>
  <si>
    <t>SMA-65-18,1-EN</t>
  </si>
  <si>
    <t>SMA-80-2,3-EN</t>
  </si>
  <si>
    <t>SMA-80-7,4-EN</t>
  </si>
  <si>
    <t>SMA-80-9,6-EN</t>
  </si>
  <si>
    <t>SMA-100-2,3-EN</t>
  </si>
  <si>
    <t>SMA-100-7,4-EN</t>
  </si>
  <si>
    <t>SMA-100-9,6-EN</t>
  </si>
  <si>
    <t>SMA-100-23,0-EN</t>
  </si>
  <si>
    <t>SMA-80-23,0-EN</t>
  </si>
  <si>
    <t>SMA-65-23,0-EN</t>
  </si>
  <si>
    <t>SMA-65-18,8-EN</t>
  </si>
  <si>
    <t>SMA-80-18,8-EN</t>
  </si>
  <si>
    <t>SMA-100-18,8-EN</t>
  </si>
  <si>
    <t>SMA-20-12,4-EN</t>
  </si>
  <si>
    <t>SMA-20-14,6-EN</t>
  </si>
  <si>
    <t>SMA-20-20,3-EN</t>
  </si>
  <si>
    <t>SMA-20-24,0-EN</t>
  </si>
  <si>
    <t>SMA-20-24,3-EN</t>
  </si>
  <si>
    <t>SMA-20-28,7-EN</t>
  </si>
  <si>
    <t>SMA-30-10,5-EN</t>
  </si>
  <si>
    <t>SMA-30-12,8-EN</t>
  </si>
  <si>
    <t>SMA-30-17,2-EN</t>
  </si>
  <si>
    <t>SMA-30-20,6-EN</t>
  </si>
  <si>
    <t>SMA-30-20,9-EN</t>
  </si>
  <si>
    <t>SMA-30-25,0-EN</t>
  </si>
  <si>
    <t>SMA-40-10,5-EN</t>
  </si>
  <si>
    <t>SMA-40-12,8-EN</t>
  </si>
  <si>
    <t>SMA-40-17,2-EN</t>
  </si>
  <si>
    <t>SMA-40-20,6-EN</t>
  </si>
  <si>
    <t>SMA-40-20,9-EN</t>
  </si>
  <si>
    <t>SMA-40-25,0-EN</t>
  </si>
  <si>
    <t>SMA-50-10,5-EN</t>
  </si>
  <si>
    <t>SMA-50-12,8-EN</t>
  </si>
  <si>
    <t>SMA-50-17,2-EN</t>
  </si>
  <si>
    <t>SMA-50-20,6-EN</t>
  </si>
  <si>
    <t>SMA-50-20,9-EN</t>
  </si>
  <si>
    <t>SMA-50-25,0-EN</t>
  </si>
  <si>
    <t>(automatische Typenanzeige bis NS 100)</t>
  </si>
  <si>
    <t>300                          (jedoch mind. 5 m³)</t>
  </si>
  <si>
    <r>
      <t>f</t>
    </r>
    <r>
      <rPr>
        <vertAlign val="subscript"/>
        <sz val="12"/>
        <color indexed="10"/>
        <rFont val="Tahoma"/>
        <family val="2"/>
      </rPr>
      <t>f</t>
    </r>
  </si>
  <si>
    <t>Fame-Faktor</t>
  </si>
  <si>
    <r>
      <t>f</t>
    </r>
    <r>
      <rPr>
        <vertAlign val="subscript"/>
        <sz val="10"/>
        <color indexed="10"/>
        <rFont val="Tahoma"/>
        <family val="2"/>
      </rPr>
      <t>f</t>
    </r>
  </si>
  <si>
    <t>bis 0,88 kg/dm³</t>
  </si>
  <si>
    <t>S-II-P</t>
  </si>
  <si>
    <t>Zusammenstellung der Anlagenkomponenten nach ÖNorm EN-858-2</t>
  </si>
  <si>
    <t>FAME-Anteil</t>
  </si>
  <si>
    <t>%(VIV)</t>
  </si>
  <si>
    <t>≥</t>
  </si>
  <si>
    <t>Dichtefaktor laut Tabelle 2 entsprechend DIN 1999 Teil 101</t>
  </si>
  <si>
    <r>
      <t>c</t>
    </r>
    <r>
      <rPr>
        <vertAlign val="subscript"/>
        <sz val="10"/>
        <color indexed="10"/>
        <rFont val="Tahoma"/>
        <family val="2"/>
      </rPr>
      <t>Fame</t>
    </r>
  </si>
  <si>
    <r>
      <t>c</t>
    </r>
    <r>
      <rPr>
        <vertAlign val="subscript"/>
        <sz val="10"/>
        <color indexed="10"/>
        <rFont val="Tahoma"/>
        <family val="2"/>
      </rPr>
      <t>Fame</t>
    </r>
    <r>
      <rPr>
        <sz val="10"/>
        <color indexed="10"/>
        <rFont val="Tahoma"/>
        <family val="2"/>
      </rPr>
      <t xml:space="preserve"> ≤ 2</t>
    </r>
  </si>
  <si>
    <r>
      <t>2 &lt; c</t>
    </r>
    <r>
      <rPr>
        <vertAlign val="subscript"/>
        <sz val="10"/>
        <color indexed="10"/>
        <rFont val="Tahoma"/>
        <family val="2"/>
      </rPr>
      <t>Fame</t>
    </r>
    <r>
      <rPr>
        <sz val="10"/>
        <color indexed="10"/>
        <rFont val="Tahoma"/>
        <family val="2"/>
      </rPr>
      <t xml:space="preserve"> ≤ 5</t>
    </r>
  </si>
  <si>
    <r>
      <t>5 &lt; c</t>
    </r>
    <r>
      <rPr>
        <vertAlign val="subscript"/>
        <sz val="10"/>
        <color indexed="10"/>
        <rFont val="Tahoma"/>
        <family val="2"/>
      </rPr>
      <t>Fame</t>
    </r>
    <r>
      <rPr>
        <sz val="10"/>
        <color indexed="10"/>
        <rFont val="Tahoma"/>
        <family val="2"/>
      </rPr>
      <t xml:space="preserve"> ≤ 10</t>
    </r>
  </si>
  <si>
    <r>
      <t>c</t>
    </r>
    <r>
      <rPr>
        <vertAlign val="subscript"/>
        <sz val="10"/>
        <color indexed="10"/>
        <rFont val="Tahoma"/>
        <family val="2"/>
      </rPr>
      <t>Fame</t>
    </r>
    <r>
      <rPr>
        <sz val="10"/>
        <color indexed="10"/>
        <rFont val="Tahoma"/>
        <family val="2"/>
      </rPr>
      <t xml:space="preserve"> &gt; 10</t>
    </r>
  </si>
  <si>
    <t xml:space="preserve">Anmerkung:                                                                                        
Das Berechnungsprogramm  wird von der SW-Umwelttechnik kostenlos zur Verfügung gestellt. Es wurde unter Beachtung der aktuellen gültigen Normen und von Erfahrungswerten mit größter Sorgfalt erstellt. Dennoch übernimmt die SW-Umwelttechnik keine Haftung dafür, dass das Berechnungsprogramm fehlerfrei ist oder es den Anforderungen des Benutzers genügt. </t>
  </si>
  <si>
    <r>
      <t xml:space="preserve">Projizierte Freifläche A1 </t>
    </r>
    <r>
      <rPr>
        <sz val="10"/>
        <rFont val="Arial"/>
        <family val="2"/>
      </rPr>
      <t xml:space="preserve">
Hier wird die Summe aller projizierten Freiflächen in [m²] eingegeben, die über den Mineralölabscheider geleitet werden. Die zu erwartende Leichtflüssigkeitsmenge ist als gering zu bezeichnen.</t>
    </r>
  </si>
  <si>
    <r>
      <t xml:space="preserve">Projizierte Freifläche A2 
</t>
    </r>
    <r>
      <rPr>
        <sz val="10"/>
        <rFont val="Arial"/>
        <family val="2"/>
      </rPr>
      <t>Hier wird die Summe aller projizierten Freiflächen in [m²] eingegeben, die über den Mineralölabscheider geleitet werden. Die zu erwartende Leichtflüssigkeitsmenge ist als gering zu bezeichnen.</t>
    </r>
  </si>
  <si>
    <r>
      <t xml:space="preserve">Überdachte, seitlich offene Freifläche A3
</t>
    </r>
    <r>
      <rPr>
        <sz val="10"/>
        <rFont val="Arial"/>
        <family val="2"/>
      </rPr>
      <t>Hier wird die Summe der Schlagregenflächen in [m²] von überdachten Flächen eingegeben. Sie errechnet sich:   
A3 = Σ längste Schlagregenseite x Raumhöhe</t>
    </r>
  </si>
  <si>
    <r>
      <t xml:space="preserve">Regenspende i </t>
    </r>
    <r>
      <rPr>
        <sz val="10"/>
        <rFont val="Arial"/>
      </rPr>
      <t xml:space="preserve">
Es ist die örtliche Regenspende eines mind. jährlichen Regenereignisses in [l/s.ha] eingegeben. 150l/s.ha sollten jedoch nicht unterschritten werden.</t>
    </r>
  </si>
  <si>
    <r>
      <t xml:space="preserve">Dichte der zu erwartenden Leichtflüssigkeit
</t>
    </r>
    <r>
      <rPr>
        <sz val="10"/>
        <rFont val="Arial"/>
        <family val="2"/>
      </rPr>
      <t>Alle auftretenden Leichtflüssigkeiten sind festzulegen. Mittels der Dichtetabelle wird die Dichte jeder Leichtflüssigkeit bestimmt. Der höchste Dichtewert ist in der Eingabetabelle einzusetzen.</t>
    </r>
  </si>
  <si>
    <r>
      <t xml:space="preserve">Anfallstelle - Autowaschanlage
</t>
    </r>
    <r>
      <rPr>
        <sz val="10"/>
        <rFont val="Arial"/>
        <family val="2"/>
      </rPr>
      <t xml:space="preserve">Die Anzahl der Autowaschanlagen, die gleichzeitig verwendet werden können, ist hier einzutragen.       </t>
    </r>
    <r>
      <rPr>
        <sz val="10"/>
        <rFont val="Arial"/>
      </rPr>
      <t xml:space="preserve">                                </t>
    </r>
  </si>
  <si>
    <r>
      <t xml:space="preserve">Anfallstelle - Hochdruckreinigungsgeräte
</t>
    </r>
    <r>
      <rPr>
        <sz val="10"/>
        <rFont val="Arial"/>
        <family val="2"/>
      </rPr>
      <t xml:space="preserve">Die Anzahl der HD-Geräte, die gleichzeitig verwendet werden können, ist hier einzutragen.
                                                       </t>
    </r>
  </si>
  <si>
    <r>
      <t>Anfallstelle - Auslaufventile</t>
    </r>
    <r>
      <rPr>
        <sz val="10"/>
        <rFont val="Arial"/>
      </rPr>
      <t xml:space="preserve">
Hier werden alle Wasseranschlüsse, die gleichzeitig verwendet werden können, eingetragen. Wird ein Anschluss ausschließlich für z.b.ein HD-Gerät oder Autowaschanlage verwendet, so ist dieser nicht den Auslaufventilen zuzuordnen, sondern ist eigens zu betrachten.
Liegt der </t>
    </r>
    <r>
      <rPr>
        <b/>
        <sz val="10"/>
        <rFont val="Arial"/>
        <family val="2"/>
      </rPr>
      <t>Versorgungsdruck</t>
    </r>
    <r>
      <rPr>
        <sz val="10"/>
        <rFont val="Arial"/>
      </rPr>
      <t xml:space="preserve"> über 4 bar, so ist dieser ebenso einzutragen.</t>
    </r>
  </si>
  <si>
    <r>
      <t xml:space="preserve">Waschplatz </t>
    </r>
    <r>
      <rPr>
        <sz val="10"/>
        <rFont val="Arial"/>
        <family val="2"/>
      </rPr>
      <t xml:space="preserve">für Lkw, Bau-u. landwirtschaftl. Maschinen
Werden auf dem Waschplatz Lkw's, Bau-u. landwirtschaftliche Maschinen gereinigt, so ist in das Feld eine 1 einzutragen.
</t>
    </r>
  </si>
  <si>
    <r>
      <t xml:space="preserve">gewählter Erschwernisfaktor fx </t>
    </r>
    <r>
      <rPr>
        <sz val="10"/>
        <rFont val="Arial"/>
      </rPr>
      <t xml:space="preserve">
Beachten Sie bei der NS-Berechnung des Mineralölabscheiders laut EN858-2, dass dieser bei der EN-Prüfung nur mit Heizöl Extraleicht geprüft wird und in der EN858-2 der Erschwernisfaktor mit 2 festgelegt wurde. Bei offensichtlichem starken Schmutzanfall sollte der Erschwernisfaktor jedoch laut Erschwernisfaktortabelle (empfohlenen Erschwernisfaktor)  angesetzt werden, um die geforderten Grenzwerte hinsichtlich des Restölgehaltes im Abwasser einhalten zu können. Sie haben die Möglichkeit einen  Schmutzfaktor fx &gt;2 in der Eingabetabelle festzulegen. Wird kein Schmutzfaktor eingegeben, so wird mit dem Schmutzfaktor laut EN858-2 gerechnet.</t>
    </r>
  </si>
  <si>
    <r>
      <t>Schutz von auslaufenden Flüssigkeiten im Objektsbereich</t>
    </r>
    <r>
      <rPr>
        <sz val="10"/>
        <rFont val="Arial"/>
        <family val="2"/>
      </rPr>
      <t xml:space="preserve">
Hier soll der max. Abflusswert in [l/s] eingetragen werden, der durch unvorhergesehene auslaufende Flüssigkeiten entstehen kann z.b. Leichtflüssigkeitsauslauf bei Lagerung von undichten Ölfässern</t>
    </r>
  </si>
  <si>
    <t>400 (jedoch mind. 2,5m³)</t>
  </si>
  <si>
    <r>
      <t xml:space="preserve">- </t>
    </r>
    <r>
      <rPr>
        <vertAlign val="superscript"/>
        <sz val="10"/>
        <color indexed="10"/>
        <rFont val="Arial"/>
      </rPr>
      <t>a)</t>
    </r>
  </si>
  <si>
    <t>Regenauffangflächen (Strassen, Tankstellen usw.), auf denen nur geringe Mengen an Schmutz durch Straßenverkehr anfällt</t>
  </si>
  <si>
    <r>
      <t xml:space="preserve">gewähltes Schlammfangvolumen fst </t>
    </r>
    <r>
      <rPr>
        <sz val="10"/>
        <rFont val="Arial"/>
        <family val="2"/>
      </rPr>
      <t xml:space="preserve">
Hier kann das Schlammfangvolumen frei gewählt werden. Bei starken Schlammanfall sollte das Volumen von 400 bis 600 l/NS gewählt werden. Das mindest erforderliche Volumen laut EN 858-2 bleibt jedoch automatisch als Rechnungenwert erhalten. </t>
    </r>
    <r>
      <rPr>
        <sz val="10"/>
        <color indexed="10"/>
        <rFont val="Arial"/>
        <family val="2"/>
      </rPr>
      <t xml:space="preserve">Bei Einsatz von Biodiesel/FAME sollte das Volumen mind. 400l/NS betragen, jedoch mindesten 2,5m³. </t>
    </r>
  </si>
  <si>
    <r>
      <t xml:space="preserve">Dichtetabelle für Leichtflüssigkeiten                                          (Auszug aus EN 858-2)                               </t>
    </r>
    <r>
      <rPr>
        <b/>
        <sz val="12"/>
        <rFont val="Arial"/>
        <family val="2"/>
      </rPr>
      <t>häufige Leichtflüssigkeiten sind markiert</t>
    </r>
  </si>
  <si>
    <t>1.1</t>
  </si>
  <si>
    <t>Gemische aus FAME und Dieselkraftstoffen</t>
  </si>
  <si>
    <t>Dieselkraftstoffanteil am Gemisch 95%</t>
  </si>
  <si>
    <t>Dieselkraftstoffanteil am Gemisch 90%</t>
  </si>
  <si>
    <t>Dieselkraftstoffanteil am Gemisch 60%</t>
  </si>
  <si>
    <r>
      <t>Mischung aus Biodiesel/FAME - FAME-Anteil c</t>
    </r>
    <r>
      <rPr>
        <vertAlign val="subscript"/>
        <sz val="9"/>
        <color indexed="10"/>
        <rFont val="Arial"/>
        <family val="2"/>
      </rPr>
      <t>FAME</t>
    </r>
    <r>
      <rPr>
        <sz val="9"/>
        <color indexed="10"/>
        <rFont val="Arial"/>
        <family val="2"/>
      </rPr>
      <t>=5%</t>
    </r>
  </si>
  <si>
    <r>
      <t>Mischung aus Biodiesel/FAME - FAME-Anteil c</t>
    </r>
    <r>
      <rPr>
        <vertAlign val="subscript"/>
        <sz val="9"/>
        <color indexed="10"/>
        <rFont val="Arial"/>
        <family val="2"/>
      </rPr>
      <t>FAME</t>
    </r>
    <r>
      <rPr>
        <sz val="9"/>
        <color indexed="10"/>
        <rFont val="Arial"/>
        <family val="2"/>
      </rPr>
      <t>=10%</t>
    </r>
  </si>
  <si>
    <r>
      <t>Mischung aus Biodiesel/FAME - FAME-Anteil c</t>
    </r>
    <r>
      <rPr>
        <vertAlign val="subscript"/>
        <sz val="9"/>
        <color indexed="10"/>
        <rFont val="Arial"/>
        <family val="2"/>
      </rPr>
      <t>FAME</t>
    </r>
    <r>
      <rPr>
        <sz val="9"/>
        <color indexed="10"/>
        <rFont val="Arial"/>
        <family val="2"/>
      </rPr>
      <t>=40%</t>
    </r>
  </si>
  <si>
    <r>
      <t>Mischung aus Biodiesel/FAME - FAME-Anteil c</t>
    </r>
    <r>
      <rPr>
        <vertAlign val="subscript"/>
        <sz val="9"/>
        <color indexed="10"/>
        <rFont val="Arial"/>
        <family val="2"/>
      </rPr>
      <t>FAME</t>
    </r>
    <r>
      <rPr>
        <sz val="9"/>
        <color indexed="10"/>
        <rFont val="Arial"/>
        <family val="2"/>
      </rPr>
      <t>=100%</t>
    </r>
  </si>
  <si>
    <t>Dieselkraftstoffanteil am Gemisch 0% - Markenname B100</t>
  </si>
  <si>
    <t>jedoch mind. 2,5m³</t>
  </si>
  <si>
    <t>Bei Einsatz von Gemischen aus Biodiesel/FAME und Dieselkraftstoff,</t>
  </si>
  <si>
    <r>
      <t>f</t>
    </r>
    <r>
      <rPr>
        <b/>
        <vertAlign val="subscript"/>
        <sz val="12"/>
        <color indexed="10"/>
        <rFont val="Tahoma"/>
        <family val="2"/>
      </rPr>
      <t>f</t>
    </r>
  </si>
  <si>
    <t>gewählter FAME-Faktor lt. Tabelle 2</t>
  </si>
  <si>
    <r>
      <t>Tabelle 2--Fame-Faktoren f</t>
    </r>
    <r>
      <rPr>
        <vertAlign val="subscript"/>
        <sz val="10"/>
        <color indexed="10"/>
        <rFont val="Tahoma"/>
        <family val="2"/>
      </rPr>
      <t>f</t>
    </r>
    <r>
      <rPr>
        <sz val="10"/>
        <color indexed="10"/>
        <rFont val="Tahoma"/>
        <family val="2"/>
      </rPr>
      <t>; c</t>
    </r>
    <r>
      <rPr>
        <vertAlign val="subscript"/>
        <sz val="10"/>
        <color indexed="10"/>
        <rFont val="Tahoma"/>
        <family val="2"/>
      </rPr>
      <t xml:space="preserve">FAME entspricht dem Biodiesel- bzw. FAME-Anteil im Dieselkraftstoff </t>
    </r>
  </si>
  <si>
    <r>
      <t>Biodiesel- bzw. FAME-Anteil im Dieselkraftstoff c</t>
    </r>
    <r>
      <rPr>
        <b/>
        <vertAlign val="subscript"/>
        <sz val="12"/>
        <color indexed="10"/>
        <rFont val="Tahoma"/>
        <family val="2"/>
      </rPr>
      <t>FAME</t>
    </r>
  </si>
  <si>
    <t xml:space="preserve">Vol.% </t>
  </si>
  <si>
    <r>
      <t>Anteil an Biodiesel (Fettsäuremethylester/FAME)</t>
    </r>
    <r>
      <rPr>
        <sz val="10"/>
        <color indexed="10"/>
        <rFont val="Arial"/>
        <family val="2"/>
      </rPr>
      <t xml:space="preserve">
Regelung durch Europäischen Biokraftstoffrichtlinie 2003/30/EG. Biodiesel (FAME) wird zur Zeit in Österreich entweder als B7 (7 Vol.% Biodiesel-Anteil) dem Dieselkraftstoff beigemischt oder als Reinkraftstoff B100 (100 Vol.% Biodiesel bzw. FAME) in Verkehr gebracht</t>
    </r>
  </si>
  <si>
    <r>
      <t>f</t>
    </r>
    <r>
      <rPr>
        <vertAlign val="subscript"/>
        <sz val="10"/>
        <color indexed="10"/>
        <rFont val="Tahoma"/>
        <family val="2"/>
      </rPr>
      <t>sf</t>
    </r>
  </si>
  <si>
    <t>0,83*</t>
  </si>
  <si>
    <t>0,835*</t>
  </si>
  <si>
    <t>0,85*</t>
  </si>
  <si>
    <t>0,883*</t>
  </si>
  <si>
    <t>*entsprechend DIN 1999-101-Tabelle 1</t>
  </si>
  <si>
    <r>
      <t xml:space="preserve">laut Tabelle 5  EN 858-2 </t>
    </r>
    <r>
      <rPr>
        <sz val="10"/>
        <color indexed="10"/>
        <rFont val="Tahoma"/>
        <family val="2"/>
      </rPr>
      <t xml:space="preserve">bzw. </t>
    </r>
  </si>
  <si>
    <t>Mindestwert bei Verwendung von Gemischen aus FAME und Dieselkraftstoff</t>
  </si>
  <si>
    <t>SMA-10/12-0,5-EN</t>
  </si>
  <si>
    <t>SMA-10/12-1,0-EN</t>
  </si>
  <si>
    <t>SMA-10/12-1,4-EN</t>
  </si>
  <si>
    <t>SMA-10/12-1,8-EN</t>
  </si>
  <si>
    <t>SMA-14/16-1,0-EN</t>
  </si>
  <si>
    <t>SMA-14/16-1,4-EN</t>
  </si>
  <si>
    <t>SMA-14/16-1,8-EN</t>
  </si>
  <si>
    <t>SMA-14/16-2,1-EN</t>
  </si>
  <si>
    <t>SMA-14/16-2,5-EN</t>
  </si>
  <si>
    <t>SMA-14/16-2,6-EN</t>
  </si>
  <si>
    <t>SMA-14/16-3,2-EN</t>
  </si>
  <si>
    <t>SMA-14/16-3,8-EN</t>
  </si>
  <si>
    <t>SMA-14/16-5,0-EN</t>
  </si>
  <si>
    <t>SMA-14/16-5,1-EN</t>
  </si>
  <si>
    <t>SMA-14/16-7,4-EN</t>
  </si>
  <si>
    <t>SMA-14/16-9,8-EN</t>
  </si>
  <si>
    <t>SMA-20-1,6-EN</t>
  </si>
  <si>
    <t>SMA-20-2,5-EN</t>
  </si>
  <si>
    <r>
      <t xml:space="preserve">Mineralölabscheider </t>
    </r>
    <r>
      <rPr>
        <b/>
        <sz val="10"/>
        <rFont val="Tahoma"/>
        <family val="2"/>
      </rPr>
      <t>Zusammenstellung S-II-P</t>
    </r>
  </si>
  <si>
    <r>
      <t>*</t>
    </r>
    <r>
      <rPr>
        <b/>
        <sz val="10"/>
        <color indexed="10"/>
        <rFont val="Tahoma"/>
        <family val="2"/>
      </rPr>
      <t>Bei Einsatz von Gemischen aus Biodiesel/FAME und Dieselkraftstoff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</si>
</sst>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
    <numFmt numFmtId="166" formatCode="0.000"/>
  </numFmts>
  <fonts count="49" x14ac:knownFonts="1">
    <font>
      <sz val="10"/>
      <name val="Arial"/>
    </font>
    <font>
      <sz val="12"/>
      <name val="Tahoma"/>
      <family val="2"/>
    </font>
    <font>
      <sz val="8"/>
      <name val="Tahoma"/>
      <family val="2"/>
    </font>
    <font>
      <b/>
      <sz val="16"/>
      <name val="Tahoma"/>
      <family val="2"/>
    </font>
    <font>
      <sz val="10"/>
      <name val="Arial"/>
      <family val="2"/>
    </font>
    <font>
      <sz val="10"/>
      <name val="Tahoma"/>
      <family val="2"/>
    </font>
    <font>
      <b/>
      <sz val="12"/>
      <name val="Tahoma"/>
      <family val="2"/>
    </font>
    <font>
      <sz val="14"/>
      <name val="Tahoma"/>
      <family val="2"/>
    </font>
    <font>
      <b/>
      <sz val="10"/>
      <name val="Tahoma"/>
      <family val="2"/>
    </font>
    <font>
      <sz val="10"/>
      <name val="Arial"/>
    </font>
    <font>
      <vertAlign val="subscript"/>
      <sz val="12"/>
      <name val="Tahoma"/>
      <family val="2"/>
    </font>
    <font>
      <vertAlign val="subscript"/>
      <sz val="10"/>
      <name val="Tahoma"/>
      <family val="2"/>
    </font>
    <font>
      <b/>
      <vertAlign val="subscript"/>
      <sz val="12"/>
      <name val="Tahoma"/>
      <family val="2"/>
    </font>
    <font>
      <b/>
      <vertAlign val="subscript"/>
      <sz val="10"/>
      <name val="Tahoma"/>
      <family val="2"/>
    </font>
    <font>
      <sz val="12"/>
      <name val="Arial"/>
    </font>
    <font>
      <b/>
      <sz val="12"/>
      <name val="Arial"/>
      <family val="2"/>
    </font>
    <font>
      <b/>
      <sz val="10"/>
      <name val="Arial"/>
      <family val="2"/>
    </font>
    <font>
      <b/>
      <sz val="8"/>
      <name val="Arial"/>
      <family val="2"/>
    </font>
    <font>
      <vertAlign val="superscript"/>
      <sz val="8"/>
      <name val="Arial"/>
      <family val="2"/>
    </font>
    <font>
      <sz val="8"/>
      <name val="Arial"/>
      <family val="2"/>
    </font>
    <font>
      <sz val="9"/>
      <name val="Arial"/>
      <family val="2"/>
    </font>
    <font>
      <b/>
      <vertAlign val="superscript"/>
      <sz val="9"/>
      <name val="Arial"/>
      <family val="2"/>
    </font>
    <font>
      <b/>
      <sz val="9"/>
      <name val="Arial"/>
      <family val="2"/>
    </font>
    <font>
      <b/>
      <sz val="16"/>
      <name val="Arial"/>
      <family val="2"/>
    </font>
    <font>
      <b/>
      <sz val="10"/>
      <name val="Arial"/>
    </font>
    <font>
      <sz val="12"/>
      <name val="Arial"/>
      <family val="2"/>
    </font>
    <font>
      <sz val="9"/>
      <name val="Tahoma"/>
      <family val="2"/>
    </font>
    <font>
      <sz val="14"/>
      <name val="Times New Roman"/>
      <family val="1"/>
    </font>
    <font>
      <sz val="12"/>
      <name val="Times New Roman"/>
      <family val="1"/>
    </font>
    <font>
      <vertAlign val="superscript"/>
      <sz val="10"/>
      <name val="Arial"/>
      <family val="2"/>
    </font>
    <font>
      <b/>
      <vertAlign val="subscript"/>
      <sz val="12"/>
      <name val="Arial"/>
      <family val="2"/>
    </font>
    <font>
      <vertAlign val="subscript"/>
      <sz val="10"/>
      <name val="Arial"/>
      <family val="2"/>
    </font>
    <font>
      <sz val="10"/>
      <color indexed="10"/>
      <name val="Arial"/>
      <family val="2"/>
    </font>
    <font>
      <b/>
      <sz val="18"/>
      <name val="Tahoma"/>
      <family val="2"/>
    </font>
    <font>
      <b/>
      <sz val="18"/>
      <name val="Arial"/>
    </font>
    <font>
      <sz val="10"/>
      <color indexed="10"/>
      <name val="Tahoma"/>
      <family val="2"/>
    </font>
    <font>
      <sz val="12"/>
      <color indexed="10"/>
      <name val="Tahoma"/>
      <family val="2"/>
    </font>
    <font>
      <vertAlign val="subscript"/>
      <sz val="12"/>
      <color indexed="10"/>
      <name val="Tahoma"/>
      <family val="2"/>
    </font>
    <font>
      <vertAlign val="subscript"/>
      <sz val="10"/>
      <color indexed="10"/>
      <name val="Tahoma"/>
      <family val="2"/>
    </font>
    <font>
      <sz val="9"/>
      <color indexed="10"/>
      <name val="Arial"/>
      <family val="2"/>
    </font>
    <font>
      <sz val="10"/>
      <color indexed="10"/>
      <name val="Arial"/>
    </font>
    <font>
      <b/>
      <sz val="10"/>
      <color indexed="10"/>
      <name val="Tahoma"/>
      <family val="2"/>
    </font>
    <font>
      <b/>
      <sz val="10"/>
      <color indexed="10"/>
      <name val="Arial"/>
      <family val="2"/>
    </font>
    <font>
      <b/>
      <sz val="12"/>
      <color indexed="10"/>
      <name val="Tahoma"/>
      <family val="2"/>
    </font>
    <font>
      <b/>
      <vertAlign val="subscript"/>
      <sz val="12"/>
      <color indexed="10"/>
      <name val="Tahoma"/>
      <family val="2"/>
    </font>
    <font>
      <b/>
      <sz val="14"/>
      <name val="Tahoma"/>
      <family val="2"/>
    </font>
    <font>
      <b/>
      <sz val="14"/>
      <name val="Arial"/>
      <family val="2"/>
    </font>
    <font>
      <vertAlign val="superscript"/>
      <sz val="10"/>
      <color indexed="10"/>
      <name val="Arial"/>
    </font>
    <font>
      <vertAlign val="subscript"/>
      <sz val="9"/>
      <color indexed="10"/>
      <name val="Arial"/>
      <family val="2"/>
    </font>
  </fonts>
  <fills count="5">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26"/>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432">
    <xf numFmtId="0" fontId="0" fillId="0" borderId="0" xfId="0"/>
    <xf numFmtId="49" fontId="1" fillId="0" borderId="0" xfId="0" applyNumberFormat="1" applyFont="1"/>
    <xf numFmtId="0" fontId="1" fillId="0" borderId="0" xfId="0" applyFont="1"/>
    <xf numFmtId="0" fontId="1" fillId="0" borderId="0" xfId="0" applyFont="1" applyAlignment="1">
      <alignment horizontal="center"/>
    </xf>
    <xf numFmtId="0" fontId="5" fillId="0" borderId="0" xfId="0" applyFont="1"/>
    <xf numFmtId="2" fontId="1" fillId="0" borderId="0" xfId="0" applyNumberFormat="1" applyFont="1"/>
    <xf numFmtId="0" fontId="1" fillId="0" borderId="0" xfId="0" applyFont="1" applyProtection="1"/>
    <xf numFmtId="0" fontId="1" fillId="0" borderId="0" xfId="0" applyFont="1" applyAlignment="1" applyProtection="1">
      <alignment horizontal="center"/>
    </xf>
    <xf numFmtId="0" fontId="16" fillId="0" borderId="1" xfId="0" applyFont="1" applyBorder="1" applyAlignment="1">
      <alignment horizontal="center" vertical="justify" wrapText="1"/>
    </xf>
    <xf numFmtId="0" fontId="17" fillId="0" borderId="1" xfId="0" applyFont="1" applyBorder="1" applyAlignment="1">
      <alignment horizontal="center" vertical="center" wrapText="1"/>
    </xf>
    <xf numFmtId="0" fontId="4" fillId="0" borderId="1" xfId="0" applyFont="1" applyBorder="1" applyAlignment="1">
      <alignment vertical="justify"/>
    </xf>
    <xf numFmtId="0" fontId="4" fillId="0" borderId="1" xfId="0" applyFont="1" applyBorder="1" applyAlignment="1">
      <alignment horizontal="center" vertical="justify"/>
    </xf>
    <xf numFmtId="0" fontId="18" fillId="0" borderId="1" xfId="0" applyFont="1" applyBorder="1" applyAlignment="1">
      <alignment wrapText="1"/>
    </xf>
    <xf numFmtId="0" fontId="19" fillId="0" borderId="1" xfId="0" applyFont="1" applyBorder="1" applyAlignment="1">
      <alignment horizontal="left" wrapText="1"/>
    </xf>
    <xf numFmtId="0" fontId="18" fillId="0" borderId="1" xfId="0" applyFont="1" applyBorder="1" applyAlignment="1">
      <alignment horizontal="left" vertical="center" wrapText="1"/>
    </xf>
    <xf numFmtId="0" fontId="19" fillId="0" borderId="1" xfId="0" applyFont="1" applyBorder="1" applyAlignment="1">
      <alignment wrapText="1"/>
    </xf>
    <xf numFmtId="0" fontId="19" fillId="0" borderId="1" xfId="0" applyFont="1" applyBorder="1" applyAlignment="1">
      <alignment horizontal="center" wrapText="1"/>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19" fillId="0" borderId="1" xfId="0" applyFont="1" applyBorder="1" applyAlignment="1">
      <alignment horizontal="center" vertical="center" wrapText="1"/>
    </xf>
    <xf numFmtId="0" fontId="0" fillId="0" borderId="0" xfId="0" applyAlignment="1">
      <alignment horizontal="left" vertical="center"/>
    </xf>
    <xf numFmtId="0" fontId="18" fillId="0" borderId="1" xfId="0" applyFont="1" applyBorder="1" applyAlignment="1">
      <alignment vertical="justify" wrapText="1"/>
    </xf>
    <xf numFmtId="0" fontId="20" fillId="0" borderId="1" xfId="0" applyFont="1" applyBorder="1" applyAlignment="1">
      <alignment vertical="justify"/>
    </xf>
    <xf numFmtId="0" fontId="20" fillId="0" borderId="1" xfId="0" applyFont="1" applyBorder="1" applyAlignment="1">
      <alignment horizontal="center" vertical="justify"/>
    </xf>
    <xf numFmtId="0" fontId="19" fillId="0" borderId="1" xfId="0" applyFont="1" applyBorder="1" applyAlignment="1">
      <alignment horizontal="center" vertical="justify" wrapText="1"/>
    </xf>
    <xf numFmtId="0" fontId="20" fillId="0" borderId="2" xfId="0" applyFont="1" applyBorder="1" applyAlignment="1">
      <alignment vertical="justify"/>
    </xf>
    <xf numFmtId="0" fontId="20" fillId="0" borderId="1" xfId="0" applyFont="1" applyBorder="1" applyAlignment="1">
      <alignment horizontal="center" vertical="center"/>
    </xf>
    <xf numFmtId="0" fontId="19" fillId="0" borderId="1" xfId="0" applyFont="1" applyBorder="1" applyAlignment="1">
      <alignment horizontal="center" vertical="center"/>
    </xf>
    <xf numFmtId="0" fontId="20" fillId="0" borderId="3" xfId="0" applyFont="1" applyBorder="1" applyAlignment="1">
      <alignment horizontal="center" vertical="justify"/>
    </xf>
    <xf numFmtId="0" fontId="18" fillId="0" borderId="3" xfId="0" applyFont="1" applyBorder="1" applyAlignment="1">
      <alignment vertical="justify" wrapText="1"/>
    </xf>
    <xf numFmtId="0" fontId="20" fillId="0" borderId="0" xfId="0" applyFont="1" applyAlignment="1">
      <alignment vertical="justify"/>
    </xf>
    <xf numFmtId="0" fontId="20" fillId="0" borderId="0" xfId="0" applyFont="1" applyAlignment="1">
      <alignment horizontal="center" vertical="justify"/>
    </xf>
    <xf numFmtId="0" fontId="19" fillId="0" borderId="0" xfId="0" applyFont="1" applyAlignment="1">
      <alignment wrapText="1"/>
    </xf>
    <xf numFmtId="0" fontId="0" fillId="0" borderId="0" xfId="0" applyAlignment="1">
      <alignment vertical="justify"/>
    </xf>
    <xf numFmtId="0" fontId="0" fillId="0" borderId="0" xfId="0" applyAlignment="1">
      <alignment horizontal="center" vertical="justify"/>
    </xf>
    <xf numFmtId="2" fontId="5" fillId="0" borderId="1" xfId="0" applyNumberFormat="1" applyFont="1" applyFill="1" applyBorder="1" applyAlignment="1">
      <alignment horizontal="center"/>
    </xf>
    <xf numFmtId="0" fontId="1" fillId="0" borderId="0" xfId="0" applyFont="1" applyFill="1"/>
    <xf numFmtId="0" fontId="5" fillId="0" borderId="0" xfId="0" applyFont="1" applyBorder="1" applyAlignment="1">
      <alignment horizontal="center"/>
    </xf>
    <xf numFmtId="0" fontId="5" fillId="0" borderId="0" xfId="0" applyFont="1" applyFill="1"/>
    <xf numFmtId="0" fontId="0" fillId="0" borderId="0" xfId="0" applyFill="1"/>
    <xf numFmtId="0" fontId="5" fillId="0" borderId="0" xfId="0" applyFont="1" applyFill="1" applyBorder="1" applyAlignment="1">
      <alignment horizontal="center"/>
    </xf>
    <xf numFmtId="0" fontId="5" fillId="0" borderId="1" xfId="0" applyFont="1" applyFill="1" applyBorder="1" applyAlignment="1">
      <alignment horizontal="left"/>
    </xf>
    <xf numFmtId="0" fontId="5" fillId="0" borderId="1" xfId="0" applyFont="1" applyFill="1" applyBorder="1" applyAlignment="1">
      <alignment horizontal="center"/>
    </xf>
    <xf numFmtId="0" fontId="6" fillId="0" borderId="0" xfId="0" applyFont="1" applyFill="1" applyBorder="1" applyAlignment="1">
      <alignment horizontal="left"/>
    </xf>
    <xf numFmtId="2" fontId="8" fillId="0" borderId="1" xfId="0" applyNumberFormat="1" applyFont="1" applyFill="1" applyBorder="1" applyAlignment="1">
      <alignment horizontal="center"/>
    </xf>
    <xf numFmtId="0" fontId="0" fillId="0" borderId="0" xfId="0" applyFill="1" applyAlignment="1">
      <alignment horizontal="center"/>
    </xf>
    <xf numFmtId="0" fontId="5" fillId="0" borderId="1" xfId="0" applyFont="1" applyFill="1" applyBorder="1"/>
    <xf numFmtId="49" fontId="1" fillId="0" borderId="4" xfId="0" applyNumberFormat="1" applyFont="1" applyBorder="1"/>
    <xf numFmtId="0" fontId="1" fillId="0" borderId="0" xfId="0" applyFont="1" applyBorder="1"/>
    <xf numFmtId="49" fontId="1" fillId="0" borderId="4" xfId="0" applyNumberFormat="1" applyFont="1" applyFill="1" applyBorder="1"/>
    <xf numFmtId="0" fontId="1" fillId="0" borderId="0" xfId="0" applyFont="1" applyFill="1" applyBorder="1" applyAlignment="1">
      <alignment horizontal="center"/>
    </xf>
    <xf numFmtId="0" fontId="1" fillId="0" borderId="0" xfId="0" applyFont="1" applyFill="1" applyBorder="1"/>
    <xf numFmtId="0" fontId="1" fillId="0" borderId="0" xfId="0" applyFont="1" applyFill="1" applyBorder="1" applyAlignment="1">
      <alignment horizontal="left"/>
    </xf>
    <xf numFmtId="0" fontId="1" fillId="0" borderId="5" xfId="0" applyFont="1" applyFill="1" applyBorder="1"/>
    <xf numFmtId="0" fontId="1" fillId="0" borderId="5" xfId="0" applyFont="1" applyFill="1" applyBorder="1" applyAlignment="1">
      <alignment horizontal="center"/>
    </xf>
    <xf numFmtId="0" fontId="5" fillId="0" borderId="0" xfId="0" applyFont="1" applyFill="1" applyBorder="1"/>
    <xf numFmtId="0" fontId="5" fillId="0" borderId="0" xfId="0" applyFont="1" applyFill="1" applyBorder="1" applyAlignment="1">
      <alignment vertical="center"/>
    </xf>
    <xf numFmtId="0" fontId="1"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5" fillId="0" borderId="0" xfId="0" applyFont="1" applyFill="1" applyBorder="1" applyAlignment="1">
      <alignment horizontal="left"/>
    </xf>
    <xf numFmtId="0" fontId="6" fillId="0" borderId="0" xfId="0" applyFont="1" applyFill="1" applyBorder="1"/>
    <xf numFmtId="0" fontId="1" fillId="0" borderId="5" xfId="0" applyFont="1" applyFill="1" applyBorder="1" applyAlignment="1">
      <alignment horizontal="center" vertical="center"/>
    </xf>
    <xf numFmtId="0" fontId="1" fillId="0" borderId="6" xfId="0" applyFont="1" applyFill="1" applyBorder="1"/>
    <xf numFmtId="49" fontId="3" fillId="0" borderId="0" xfId="0" applyNumberFormat="1" applyFont="1" applyFill="1" applyBorder="1"/>
    <xf numFmtId="0" fontId="7" fillId="0" borderId="0" xfId="0" applyFont="1" applyFill="1" applyBorder="1"/>
    <xf numFmtId="0" fontId="7" fillId="0" borderId="0" xfId="0" applyFont="1" applyFill="1" applyBorder="1" applyAlignment="1">
      <alignment horizontal="center"/>
    </xf>
    <xf numFmtId="0" fontId="5" fillId="0" borderId="4" xfId="0" applyFont="1" applyFill="1" applyBorder="1"/>
    <xf numFmtId="0" fontId="5" fillId="0" borderId="5" xfId="0" applyFont="1" applyFill="1" applyBorder="1"/>
    <xf numFmtId="0" fontId="6" fillId="0" borderId="0" xfId="0" applyFont="1" applyFill="1" applyBorder="1" applyAlignment="1"/>
    <xf numFmtId="0" fontId="1" fillId="0" borderId="4" xfId="0" applyFont="1" applyFill="1" applyBorder="1" applyAlignment="1">
      <alignment horizontal="center"/>
    </xf>
    <xf numFmtId="0" fontId="6" fillId="0" borderId="0" xfId="0" applyFont="1" applyFill="1" applyBorder="1" applyAlignment="1">
      <alignment horizontal="center"/>
    </xf>
    <xf numFmtId="0" fontId="0" fillId="0" borderId="0" xfId="0" applyFill="1" applyBorder="1"/>
    <xf numFmtId="0" fontId="9" fillId="0" borderId="0" xfId="0" applyFont="1" applyFill="1" applyBorder="1"/>
    <xf numFmtId="0" fontId="4" fillId="0" borderId="0" xfId="0" applyFont="1" applyFill="1" applyBorder="1" applyAlignment="1">
      <alignment horizontal="center"/>
    </xf>
    <xf numFmtId="164" fontId="1" fillId="0" borderId="0" xfId="0" applyNumberFormat="1" applyFont="1" applyFill="1" applyBorder="1" applyAlignment="1">
      <alignment horizontal="center"/>
    </xf>
    <xf numFmtId="2" fontId="6" fillId="0" borderId="0" xfId="0" applyNumberFormat="1" applyFont="1" applyFill="1" applyBorder="1" applyAlignment="1">
      <alignment horizontal="center"/>
    </xf>
    <xf numFmtId="0" fontId="0" fillId="0" borderId="5" xfId="0" applyFill="1" applyBorder="1"/>
    <xf numFmtId="0" fontId="1" fillId="0" borderId="4" xfId="0" applyFont="1" applyFill="1" applyBorder="1"/>
    <xf numFmtId="2" fontId="5" fillId="0" borderId="0" xfId="0" applyNumberFormat="1" applyFont="1" applyFill="1" applyBorder="1" applyAlignment="1">
      <alignment horizontal="center"/>
    </xf>
    <xf numFmtId="2" fontId="5" fillId="0" borderId="0" xfId="0" applyNumberFormat="1" applyFont="1" applyFill="1" applyBorder="1" applyAlignment="1">
      <alignment horizontal="left"/>
    </xf>
    <xf numFmtId="2" fontId="1" fillId="0" borderId="0" xfId="0" applyNumberFormat="1" applyFont="1" applyFill="1" applyBorder="1" applyAlignment="1">
      <alignment horizontal="center"/>
    </xf>
    <xf numFmtId="0" fontId="0" fillId="0" borderId="0" xfId="0" applyFill="1" applyBorder="1" applyAlignment="1">
      <alignment horizontal="center"/>
    </xf>
    <xf numFmtId="0" fontId="14" fillId="0" borderId="0" xfId="0" applyFont="1" applyFill="1" applyBorder="1"/>
    <xf numFmtId="0" fontId="1" fillId="0" borderId="7" xfId="0" applyFont="1" applyFill="1" applyBorder="1"/>
    <xf numFmtId="0" fontId="5" fillId="0" borderId="5" xfId="0" applyFont="1" applyBorder="1" applyAlignment="1">
      <alignment horizontal="center"/>
    </xf>
    <xf numFmtId="166" fontId="6" fillId="0" borderId="0" xfId="0" applyNumberFormat="1" applyFont="1" applyFill="1" applyBorder="1" applyAlignment="1">
      <alignment horizontal="center"/>
    </xf>
    <xf numFmtId="2" fontId="5" fillId="0" borderId="0" xfId="0" applyNumberFormat="1" applyFont="1" applyFill="1" applyBorder="1"/>
    <xf numFmtId="165" fontId="5" fillId="0" borderId="0" xfId="0" applyNumberFormat="1" applyFont="1" applyFill="1" applyBorder="1" applyAlignment="1">
      <alignment horizontal="center"/>
    </xf>
    <xf numFmtId="165" fontId="1" fillId="0" borderId="5" xfId="0" applyNumberFormat="1" applyFont="1" applyFill="1" applyBorder="1" applyAlignment="1">
      <alignment horizontal="center"/>
    </xf>
    <xf numFmtId="0" fontId="5" fillId="0" borderId="4" xfId="0" applyFont="1" applyFill="1" applyBorder="1" applyAlignment="1">
      <alignment horizontal="center"/>
    </xf>
    <xf numFmtId="49" fontId="6" fillId="0" borderId="0" xfId="0" applyNumberFormat="1" applyFont="1" applyFill="1" applyBorder="1"/>
    <xf numFmtId="165" fontId="6" fillId="0" borderId="0" xfId="0" applyNumberFormat="1" applyFont="1" applyFill="1" applyBorder="1"/>
    <xf numFmtId="2" fontId="1" fillId="0" borderId="0" xfId="0" applyNumberFormat="1" applyFont="1" applyFill="1" applyBorder="1"/>
    <xf numFmtId="0" fontId="8" fillId="0" borderId="5" xfId="0" applyFont="1" applyFill="1" applyBorder="1" applyAlignment="1">
      <alignment horizontal="center"/>
    </xf>
    <xf numFmtId="0" fontId="1" fillId="0" borderId="0" xfId="0" applyFont="1" applyFill="1" applyBorder="1" applyAlignment="1">
      <alignment horizontal="right"/>
    </xf>
    <xf numFmtId="0" fontId="0" fillId="0" borderId="0" xfId="0" applyFill="1" applyAlignment="1">
      <alignment horizontal="right"/>
    </xf>
    <xf numFmtId="1" fontId="5" fillId="0" borderId="0" xfId="0" applyNumberFormat="1" applyFont="1"/>
    <xf numFmtId="49" fontId="5" fillId="0" borderId="0" xfId="0" applyNumberFormat="1" applyFont="1"/>
    <xf numFmtId="49" fontId="5" fillId="0" borderId="0" xfId="0" applyNumberFormat="1" applyFont="1" applyAlignment="1">
      <alignment horizontal="right"/>
    </xf>
    <xf numFmtId="0" fontId="0" fillId="2" borderId="0" xfId="0" applyFill="1"/>
    <xf numFmtId="0" fontId="5" fillId="2" borderId="0" xfId="0" applyFont="1" applyFill="1"/>
    <xf numFmtId="0" fontId="8" fillId="0" borderId="0" xfId="0" applyFont="1" applyFill="1" applyBorder="1" applyAlignment="1">
      <alignment horizontal="left"/>
    </xf>
    <xf numFmtId="164" fontId="5" fillId="0" borderId="0" xfId="0" applyNumberFormat="1" applyFont="1"/>
    <xf numFmtId="165" fontId="5" fillId="0" borderId="0" xfId="0" applyNumberFormat="1" applyFont="1"/>
    <xf numFmtId="0" fontId="5" fillId="0" borderId="0" xfId="0" applyFont="1" applyBorder="1"/>
    <xf numFmtId="0" fontId="5" fillId="0" borderId="4" xfId="0" applyFont="1" applyBorder="1"/>
    <xf numFmtId="0" fontId="5" fillId="0" borderId="5" xfId="0" applyFont="1" applyBorder="1"/>
    <xf numFmtId="0" fontId="1" fillId="0" borderId="4" xfId="0" applyFont="1" applyBorder="1"/>
    <xf numFmtId="0" fontId="1" fillId="0" borderId="5" xfId="0" applyFont="1" applyBorder="1"/>
    <xf numFmtId="49" fontId="3" fillId="0" borderId="0" xfId="0" applyNumberFormat="1" applyFont="1" applyFill="1" applyBorder="1" applyAlignment="1"/>
    <xf numFmtId="0" fontId="7" fillId="0" borderId="5" xfId="0" applyFont="1" applyFill="1" applyBorder="1"/>
    <xf numFmtId="0" fontId="8" fillId="0" borderId="0" xfId="0" applyFont="1" applyFill="1" applyBorder="1"/>
    <xf numFmtId="0" fontId="8" fillId="0" borderId="0" xfId="0" applyFont="1" applyFill="1" applyBorder="1" applyAlignment="1">
      <alignment horizontal="center"/>
    </xf>
    <xf numFmtId="0" fontId="8" fillId="0" borderId="5" xfId="0" applyFont="1" applyFill="1" applyBorder="1"/>
    <xf numFmtId="0" fontId="6" fillId="0" borderId="5" xfId="0" applyFont="1" applyFill="1" applyBorder="1"/>
    <xf numFmtId="2" fontId="6" fillId="0" borderId="0" xfId="0" applyNumberFormat="1" applyFont="1" applyFill="1" applyBorder="1"/>
    <xf numFmtId="0" fontId="24" fillId="0" borderId="0" xfId="0" applyFont="1" applyFill="1" applyBorder="1"/>
    <xf numFmtId="0" fontId="1" fillId="0" borderId="0" xfId="0" applyFont="1" applyBorder="1" applyAlignment="1">
      <alignment horizontal="center"/>
    </xf>
    <xf numFmtId="2" fontId="1" fillId="0" borderId="0" xfId="0" applyNumberFormat="1" applyFont="1" applyBorder="1" applyAlignment="1">
      <alignment horizontal="center"/>
    </xf>
    <xf numFmtId="0" fontId="1" fillId="0" borderId="6" xfId="0" applyFont="1" applyBorder="1"/>
    <xf numFmtId="0" fontId="1" fillId="0" borderId="8" xfId="0" applyFont="1" applyBorder="1"/>
    <xf numFmtId="0" fontId="1" fillId="0" borderId="9" xfId="0" applyFont="1" applyBorder="1"/>
    <xf numFmtId="0" fontId="1" fillId="0" borderId="7" xfId="0" applyFont="1" applyBorder="1"/>
    <xf numFmtId="0" fontId="0" fillId="0" borderId="0" xfId="0" applyFill="1" applyBorder="1" applyAlignment="1">
      <alignment horizontal="left" vertical="top" wrapText="1"/>
    </xf>
    <xf numFmtId="0" fontId="0" fillId="0" borderId="0" xfId="0" applyBorder="1"/>
    <xf numFmtId="0" fontId="0" fillId="0" borderId="0" xfId="0" applyFill="1" applyBorder="1" applyAlignment="1">
      <alignment horizontal="left" vertical="top"/>
    </xf>
    <xf numFmtId="0" fontId="27" fillId="0" borderId="0" xfId="0" applyFont="1"/>
    <xf numFmtId="0" fontId="4" fillId="0" borderId="1" xfId="0" applyFont="1" applyFill="1" applyBorder="1" applyAlignment="1">
      <alignment horizontal="center" vertical="justify"/>
    </xf>
    <xf numFmtId="0" fontId="0" fillId="0" borderId="0" xfId="0" applyAlignment="1">
      <alignment vertical="center" wrapText="1"/>
    </xf>
    <xf numFmtId="0" fontId="28" fillId="0" borderId="0" xfId="0" applyFont="1"/>
    <xf numFmtId="0" fontId="0" fillId="0" borderId="0" xfId="0" applyAlignment="1">
      <alignment horizontal="center"/>
    </xf>
    <xf numFmtId="49" fontId="0" fillId="0" borderId="0" xfId="0" applyNumberFormat="1" applyAlignment="1">
      <alignment horizontal="center" vertical="center" wrapText="1"/>
    </xf>
    <xf numFmtId="49" fontId="0" fillId="0" borderId="0" xfId="0" applyNumberFormat="1" applyAlignment="1">
      <alignment horizontal="left" vertical="center" wrapText="1"/>
    </xf>
    <xf numFmtId="0" fontId="29" fillId="0" borderId="0" xfId="0" applyFont="1" applyAlignment="1">
      <alignment vertical="center" wrapText="1"/>
    </xf>
    <xf numFmtId="0" fontId="0" fillId="0" borderId="1" xfId="0" applyBorder="1" applyAlignment="1">
      <alignment vertical="center" wrapText="1"/>
    </xf>
    <xf numFmtId="49" fontId="0" fillId="0" borderId="1" xfId="0" applyNumberFormat="1" applyBorder="1" applyAlignment="1">
      <alignment horizontal="left" vertical="center" wrapText="1"/>
    </xf>
    <xf numFmtId="0" fontId="29" fillId="0" borderId="1" xfId="0" applyFont="1" applyBorder="1" applyAlignment="1">
      <alignment vertical="center" wrapText="1"/>
    </xf>
    <xf numFmtId="49" fontId="0" fillId="0" borderId="1" xfId="0" applyNumberFormat="1" applyBorder="1" applyAlignment="1">
      <alignment horizontal="center" vertical="center" wrapText="1"/>
    </xf>
    <xf numFmtId="49" fontId="0" fillId="0" borderId="7" xfId="0" applyNumberFormat="1" applyBorder="1" applyAlignment="1">
      <alignment horizontal="center" vertical="center" wrapText="1"/>
    </xf>
    <xf numFmtId="49" fontId="0" fillId="0" borderId="6" xfId="0" applyNumberFormat="1" applyBorder="1" applyAlignment="1">
      <alignment horizontal="center" vertical="center" wrapText="1"/>
    </xf>
    <xf numFmtId="49" fontId="0" fillId="0" borderId="0" xfId="0" applyNumberFormat="1" applyAlignment="1">
      <alignment vertical="center" wrapText="1"/>
    </xf>
    <xf numFmtId="0" fontId="1" fillId="3" borderId="0" xfId="0" applyFont="1" applyFill="1" applyBorder="1" applyAlignment="1" applyProtection="1">
      <alignment horizontal="center"/>
      <protection locked="0"/>
    </xf>
    <xf numFmtId="0" fontId="15" fillId="3" borderId="1" xfId="0" applyFont="1" applyFill="1" applyBorder="1" applyAlignment="1">
      <alignment horizontal="center" vertical="center" wrapText="1"/>
    </xf>
    <xf numFmtId="49" fontId="0" fillId="3" borderId="1" xfId="0" applyNumberFormat="1" applyFill="1" applyBorder="1" applyAlignment="1">
      <alignment horizontal="center" vertical="center" wrapText="1"/>
    </xf>
    <xf numFmtId="0" fontId="4" fillId="3" borderId="1" xfId="0" applyFont="1" applyFill="1" applyBorder="1" applyAlignment="1">
      <alignment vertical="justify"/>
    </xf>
    <xf numFmtId="0" fontId="4" fillId="3" borderId="1" xfId="0" applyFont="1" applyFill="1" applyBorder="1" applyAlignment="1">
      <alignment horizontal="center" vertical="justify"/>
    </xf>
    <xf numFmtId="0" fontId="19" fillId="3" borderId="1" xfId="0" applyFont="1" applyFill="1" applyBorder="1" applyAlignment="1">
      <alignment horizontal="center" wrapText="1"/>
    </xf>
    <xf numFmtId="0" fontId="4" fillId="3" borderId="1" xfId="0" applyFont="1" applyFill="1" applyBorder="1" applyAlignment="1">
      <alignment horizontal="center" vertical="justify" wrapText="1"/>
    </xf>
    <xf numFmtId="0" fontId="4"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2" fontId="4" fillId="3" borderId="1" xfId="0" applyNumberFormat="1" applyFont="1" applyFill="1" applyBorder="1" applyAlignment="1">
      <alignment horizontal="center" vertical="justify"/>
    </xf>
    <xf numFmtId="0" fontId="19" fillId="3" borderId="1" xfId="0" applyFont="1" applyFill="1" applyBorder="1" applyAlignment="1">
      <alignment wrapText="1"/>
    </xf>
    <xf numFmtId="0" fontId="18" fillId="3" borderId="1" xfId="0" applyFont="1" applyFill="1" applyBorder="1" applyAlignment="1">
      <alignment vertical="justify" wrapText="1"/>
    </xf>
    <xf numFmtId="0" fontId="20" fillId="3" borderId="1" xfId="0" applyFont="1" applyFill="1" applyBorder="1" applyAlignment="1">
      <alignment vertical="justify"/>
    </xf>
    <xf numFmtId="0" fontId="20" fillId="3" borderId="1" xfId="0" applyFont="1" applyFill="1" applyBorder="1" applyAlignment="1">
      <alignment horizontal="center" vertical="justify"/>
    </xf>
    <xf numFmtId="0" fontId="20" fillId="3" borderId="10" xfId="0" applyFont="1" applyFill="1" applyBorder="1" applyAlignment="1">
      <alignment vertical="justify"/>
    </xf>
    <xf numFmtId="0" fontId="20" fillId="3" borderId="10" xfId="0" applyFont="1" applyFill="1" applyBorder="1" applyAlignment="1">
      <alignment horizontal="center" vertical="justify"/>
    </xf>
    <xf numFmtId="0" fontId="20" fillId="3" borderId="3" xfId="0" applyFont="1" applyFill="1" applyBorder="1" applyAlignment="1">
      <alignment vertical="justify"/>
    </xf>
    <xf numFmtId="0" fontId="20" fillId="3" borderId="3" xfId="0" applyFont="1" applyFill="1" applyBorder="1" applyAlignment="1">
      <alignment horizontal="center" vertical="justify"/>
    </xf>
    <xf numFmtId="0" fontId="34" fillId="4" borderId="0" xfId="0" applyFont="1" applyFill="1" applyBorder="1" applyAlignment="1">
      <alignment horizontal="center"/>
    </xf>
    <xf numFmtId="0" fontId="34" fillId="4" borderId="0" xfId="0" applyFont="1" applyFill="1" applyBorder="1" applyAlignment="1">
      <alignment horizontal="left"/>
    </xf>
    <xf numFmtId="0" fontId="35" fillId="0" borderId="6" xfId="0" applyFont="1" applyFill="1" applyBorder="1"/>
    <xf numFmtId="0" fontId="35" fillId="0" borderId="0" xfId="0" applyFont="1" applyFill="1" applyBorder="1" applyAlignment="1">
      <alignment horizontal="right"/>
    </xf>
    <xf numFmtId="0" fontId="35" fillId="0" borderId="11" xfId="0" applyFont="1" applyFill="1" applyBorder="1" applyAlignment="1">
      <alignment horizontal="right"/>
    </xf>
    <xf numFmtId="49" fontId="0" fillId="0" borderId="0" xfId="0" applyNumberFormat="1" applyBorder="1" applyAlignment="1">
      <alignment vertical="center" wrapText="1"/>
    </xf>
    <xf numFmtId="0" fontId="35" fillId="0" borderId="0" xfId="0" applyFont="1" applyFill="1" applyBorder="1"/>
    <xf numFmtId="0" fontId="5" fillId="0" borderId="0" xfId="0" applyFont="1" applyAlignment="1">
      <alignment horizontal="center"/>
    </xf>
    <xf numFmtId="49" fontId="5" fillId="0" borderId="0" xfId="0" applyNumberFormat="1" applyFont="1" applyAlignment="1">
      <alignment horizontal="center"/>
    </xf>
    <xf numFmtId="1" fontId="5" fillId="0" borderId="0" xfId="0" applyNumberFormat="1" applyFont="1" applyAlignment="1">
      <alignment horizontal="center"/>
    </xf>
    <xf numFmtId="49" fontId="32" fillId="0" borderId="0" xfId="0" applyNumberFormat="1" applyFont="1" applyBorder="1" applyAlignment="1">
      <alignment horizontal="right"/>
    </xf>
    <xf numFmtId="0" fontId="32" fillId="0" borderId="0" xfId="0" applyFont="1" applyBorder="1" applyAlignment="1">
      <alignment horizontal="right"/>
    </xf>
    <xf numFmtId="0" fontId="0" fillId="0" borderId="8" xfId="0" applyBorder="1"/>
    <xf numFmtId="0" fontId="25" fillId="0" borderId="4" xfId="0" applyFont="1" applyBorder="1" applyAlignment="1" applyProtection="1">
      <alignment horizontal="left" vertical="top" wrapText="1"/>
      <protection locked="0"/>
    </xf>
    <xf numFmtId="0" fontId="25" fillId="0" borderId="0" xfId="0" applyFont="1" applyBorder="1" applyAlignment="1" applyProtection="1">
      <alignment horizontal="left" vertical="top" wrapText="1"/>
      <protection locked="0"/>
    </xf>
    <xf numFmtId="165" fontId="33" fillId="4" borderId="0" xfId="0" applyNumberFormat="1" applyFont="1" applyFill="1" applyBorder="1" applyAlignment="1">
      <alignment horizontal="center"/>
    </xf>
    <xf numFmtId="165" fontId="4" fillId="0" borderId="0" xfId="0" applyNumberFormat="1" applyFont="1" applyFill="1" applyBorder="1" applyAlignment="1">
      <alignment horizontal="center"/>
    </xf>
    <xf numFmtId="0" fontId="4" fillId="0" borderId="1" xfId="0" applyFont="1" applyBorder="1" applyAlignment="1">
      <alignment vertical="center" wrapText="1"/>
    </xf>
    <xf numFmtId="49" fontId="0" fillId="3" borderId="1" xfId="0" applyNumberFormat="1" applyFill="1" applyBorder="1" applyAlignment="1">
      <alignment horizontal="left" vertical="center" wrapText="1"/>
    </xf>
    <xf numFmtId="49" fontId="0" fillId="0" borderId="8" xfId="0" applyNumberFormat="1" applyBorder="1" applyAlignment="1">
      <alignment horizontal="center" vertical="center" wrapText="1"/>
    </xf>
    <xf numFmtId="0" fontId="0" fillId="0" borderId="7" xfId="0" applyBorder="1" applyAlignment="1">
      <alignment vertical="center" wrapText="1"/>
    </xf>
    <xf numFmtId="0" fontId="0" fillId="0" borderId="12" xfId="0" applyBorder="1" applyAlignment="1">
      <alignment vertical="center" wrapText="1"/>
    </xf>
    <xf numFmtId="49" fontId="0" fillId="0" borderId="13" xfId="0" applyNumberFormat="1" applyBorder="1" applyAlignment="1">
      <alignment horizontal="center" vertical="center" wrapText="1"/>
    </xf>
    <xf numFmtId="0" fontId="36" fillId="0" borderId="0" xfId="0" applyFont="1" applyFill="1" applyBorder="1"/>
    <xf numFmtId="0" fontId="35" fillId="0" borderId="0" xfId="0" applyFont="1" applyFill="1" applyBorder="1" applyAlignment="1">
      <alignment horizontal="center"/>
    </xf>
    <xf numFmtId="0" fontId="36" fillId="0" borderId="0" xfId="0" applyFont="1" applyFill="1" applyBorder="1" applyAlignment="1">
      <alignment horizontal="center"/>
    </xf>
    <xf numFmtId="0" fontId="32" fillId="0" borderId="0" xfId="0" applyFont="1"/>
    <xf numFmtId="0" fontId="40" fillId="0" borderId="0" xfId="0" applyFont="1" applyFill="1" applyBorder="1"/>
    <xf numFmtId="49" fontId="35" fillId="0" borderId="0" xfId="0" applyNumberFormat="1" applyFont="1" applyFill="1" applyBorder="1" applyAlignment="1">
      <alignment horizontal="right"/>
    </xf>
    <xf numFmtId="0" fontId="5" fillId="0" borderId="0" xfId="0" applyFont="1" applyFill="1" applyBorder="1" applyAlignment="1">
      <alignment horizontal="left" vertical="center" wrapText="1"/>
    </xf>
    <xf numFmtId="0" fontId="16" fillId="0" borderId="0" xfId="0" applyFont="1" applyBorder="1" applyAlignment="1">
      <alignment horizontal="left" vertical="top" wrapText="1"/>
    </xf>
    <xf numFmtId="0" fontId="4" fillId="0" borderId="0" xfId="0" applyFont="1" applyFill="1" applyBorder="1" applyAlignment="1">
      <alignment horizontal="left" vertical="center" wrapText="1"/>
    </xf>
    <xf numFmtId="49" fontId="32" fillId="0" borderId="6" xfId="0" applyNumberFormat="1" applyFont="1" applyBorder="1" applyAlignment="1">
      <alignment horizontal="right"/>
    </xf>
    <xf numFmtId="49" fontId="32" fillId="0" borderId="8" xfId="0" applyNumberFormat="1" applyFont="1" applyBorder="1" applyAlignment="1">
      <alignment horizontal="right"/>
    </xf>
    <xf numFmtId="0" fontId="4" fillId="0" borderId="12" xfId="0" applyFont="1" applyFill="1" applyBorder="1" applyAlignment="1">
      <alignment horizontal="center"/>
    </xf>
    <xf numFmtId="0" fontId="4" fillId="0" borderId="14" xfId="0" applyFont="1" applyFill="1" applyBorder="1" applyAlignment="1">
      <alignment horizontal="center"/>
    </xf>
    <xf numFmtId="0" fontId="35" fillId="0" borderId="0" xfId="0" applyFont="1" applyFill="1" applyBorder="1" applyAlignment="1">
      <alignment horizontal="left"/>
    </xf>
    <xf numFmtId="0" fontId="4" fillId="0" borderId="0" xfId="0" applyFont="1" applyBorder="1" applyAlignment="1">
      <alignment horizontal="left" vertical="center" wrapText="1"/>
    </xf>
    <xf numFmtId="0" fontId="9" fillId="0" borderId="0" xfId="0" applyFont="1"/>
    <xf numFmtId="0" fontId="36" fillId="0" borderId="5" xfId="0" applyFont="1" applyFill="1" applyBorder="1"/>
    <xf numFmtId="2" fontId="35" fillId="0" borderId="0" xfId="0" applyNumberFormat="1" applyFont="1" applyFill="1" applyBorder="1" applyAlignment="1">
      <alignment horizontal="center"/>
    </xf>
    <xf numFmtId="2" fontId="35" fillId="0" borderId="5" xfId="0" applyNumberFormat="1" applyFont="1" applyFill="1" applyBorder="1" applyAlignment="1">
      <alignment horizontal="center"/>
    </xf>
    <xf numFmtId="0" fontId="0" fillId="0" borderId="0" xfId="0" applyBorder="1" applyAlignment="1">
      <alignment vertical="top" wrapText="1"/>
    </xf>
    <xf numFmtId="0" fontId="16" fillId="0" borderId="0" xfId="0" applyFont="1" applyBorder="1" applyAlignment="1">
      <alignment vertical="top" wrapText="1"/>
    </xf>
    <xf numFmtId="0" fontId="35" fillId="0" borderId="0" xfId="0" applyFont="1" applyFill="1"/>
    <xf numFmtId="0" fontId="36" fillId="0" borderId="4" xfId="0" applyFont="1" applyFill="1" applyBorder="1"/>
    <xf numFmtId="0" fontId="43" fillId="0" borderId="0" xfId="0" applyFont="1" applyFill="1" applyBorder="1" applyAlignment="1">
      <alignment horizontal="center"/>
    </xf>
    <xf numFmtId="2" fontId="43" fillId="0" borderId="0" xfId="0" applyNumberFormat="1" applyFont="1" applyFill="1" applyBorder="1" applyAlignment="1">
      <alignment horizontal="center"/>
    </xf>
    <xf numFmtId="0" fontId="35" fillId="0" borderId="0" xfId="0" applyFont="1"/>
    <xf numFmtId="2" fontId="36" fillId="0" borderId="0" xfId="0" applyNumberFormat="1" applyFont="1" applyFill="1" applyBorder="1" applyAlignment="1">
      <alignment horizontal="center"/>
    </xf>
    <xf numFmtId="0" fontId="36" fillId="3" borderId="0" xfId="0" applyFont="1" applyFill="1" applyBorder="1" applyAlignment="1" applyProtection="1">
      <alignment horizontal="center"/>
      <protection locked="0"/>
    </xf>
    <xf numFmtId="0" fontId="35" fillId="0" borderId="6" xfId="0" applyFont="1" applyFill="1" applyBorder="1" applyAlignment="1">
      <alignment horizontal="left"/>
    </xf>
    <xf numFmtId="0" fontId="35" fillId="0" borderId="11" xfId="0" applyFont="1" applyFill="1" applyBorder="1" applyAlignment="1">
      <alignment horizontal="left"/>
    </xf>
    <xf numFmtId="0" fontId="25" fillId="0" borderId="6" xfId="0" applyFont="1" applyBorder="1" applyAlignment="1" applyProtection="1">
      <alignment horizontal="left" vertical="top" wrapText="1"/>
      <protection locked="0"/>
    </xf>
    <xf numFmtId="0" fontId="25" fillId="0" borderId="11" xfId="0" applyFont="1" applyBorder="1" applyAlignment="1" applyProtection="1">
      <alignment horizontal="left" vertical="top" wrapText="1"/>
      <protection locked="0"/>
    </xf>
    <xf numFmtId="49" fontId="40" fillId="0" borderId="1" xfId="0" applyNumberFormat="1" applyFont="1" applyBorder="1" applyAlignment="1">
      <alignment horizontal="center" vertical="center" wrapText="1"/>
    </xf>
    <xf numFmtId="49" fontId="40" fillId="0" borderId="1" xfId="0" applyNumberFormat="1" applyFont="1" applyBorder="1" applyAlignment="1">
      <alignment horizontal="left" vertical="center" wrapText="1"/>
    </xf>
    <xf numFmtId="0" fontId="40" fillId="0" borderId="1" xfId="0" applyFont="1" applyBorder="1" applyAlignment="1">
      <alignment vertical="center" wrapText="1"/>
    </xf>
    <xf numFmtId="0" fontId="40" fillId="0" borderId="0" xfId="0" applyFont="1"/>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36" fillId="0" borderId="5" xfId="0" applyFont="1" applyFill="1" applyBorder="1" applyAlignment="1">
      <alignment horizontal="center"/>
    </xf>
    <xf numFmtId="0" fontId="35" fillId="0" borderId="0" xfId="0" applyFont="1" applyFill="1" applyBorder="1" applyAlignment="1">
      <alignment vertical="center"/>
    </xf>
    <xf numFmtId="0" fontId="42" fillId="0" borderId="0" xfId="0" applyFont="1" applyBorder="1" applyAlignment="1" applyProtection="1">
      <alignment vertical="top" wrapText="1"/>
      <protection locked="0"/>
    </xf>
    <xf numFmtId="49" fontId="0" fillId="0" borderId="0" xfId="0" applyNumberFormat="1" applyBorder="1" applyAlignment="1">
      <alignment horizontal="left" vertical="center" wrapText="1"/>
    </xf>
    <xf numFmtId="0" fontId="0" fillId="0" borderId="0" xfId="0" applyBorder="1" applyAlignment="1">
      <alignment vertical="center" wrapText="1"/>
    </xf>
    <xf numFmtId="49" fontId="0" fillId="0" borderId="0" xfId="0" applyNumberFormat="1" applyBorder="1" applyAlignment="1">
      <alignment horizontal="center" vertical="center" wrapText="1"/>
    </xf>
    <xf numFmtId="0" fontId="0" fillId="0" borderId="1" xfId="0" applyNumberFormat="1" applyBorder="1" applyAlignment="1">
      <alignment horizontal="center" vertical="center" wrapText="1"/>
    </xf>
    <xf numFmtId="0" fontId="0" fillId="0" borderId="1" xfId="0" applyNumberFormat="1" applyBorder="1" applyAlignment="1">
      <alignment horizontal="left" vertical="center" wrapText="1"/>
    </xf>
    <xf numFmtId="0" fontId="39" fillId="0" borderId="1" xfId="0" applyFont="1" applyBorder="1" applyAlignment="1">
      <alignment vertical="justify" wrapText="1"/>
    </xf>
    <xf numFmtId="166" fontId="39" fillId="0" borderId="1" xfId="0" applyNumberFormat="1" applyFont="1" applyBorder="1" applyAlignment="1">
      <alignment horizontal="center" vertical="center"/>
    </xf>
    <xf numFmtId="0" fontId="39" fillId="0" borderId="1" xfId="0" applyFont="1" applyBorder="1" applyAlignment="1">
      <alignment horizontal="center" vertical="center"/>
    </xf>
    <xf numFmtId="0" fontId="39" fillId="0" borderId="3" xfId="0" applyFont="1" applyBorder="1" applyAlignment="1">
      <alignment horizontal="center" vertical="center"/>
    </xf>
    <xf numFmtId="0" fontId="39" fillId="0" borderId="1" xfId="0" applyFont="1" applyBorder="1" applyAlignment="1">
      <alignment vertical="center"/>
    </xf>
    <xf numFmtId="0" fontId="39" fillId="0" borderId="1" xfId="0" applyFont="1" applyBorder="1" applyAlignment="1">
      <alignment vertical="center" wrapText="1"/>
    </xf>
    <xf numFmtId="0" fontId="39" fillId="0" borderId="0" xfId="0" applyFont="1" applyAlignment="1">
      <alignment vertical="justify"/>
    </xf>
    <xf numFmtId="0" fontId="5" fillId="0" borderId="9" xfId="0" applyFont="1" applyBorder="1"/>
    <xf numFmtId="0" fontId="6" fillId="0" borderId="0" xfId="0" applyFont="1"/>
    <xf numFmtId="49" fontId="35" fillId="0" borderId="6" xfId="0" applyNumberFormat="1" applyFont="1" applyFill="1" applyBorder="1" applyAlignment="1"/>
    <xf numFmtId="0" fontId="35" fillId="0" borderId="6" xfId="0" applyFont="1" applyFill="1" applyBorder="1" applyAlignment="1"/>
    <xf numFmtId="0" fontId="35" fillId="0" borderId="11" xfId="0" applyFont="1" applyFill="1" applyBorder="1" applyAlignment="1"/>
    <xf numFmtId="0" fontId="5" fillId="0" borderId="11" xfId="0" applyFont="1" applyBorder="1"/>
    <xf numFmtId="0" fontId="43" fillId="0" borderId="0" xfId="0" applyFont="1" applyFill="1" applyBorder="1"/>
    <xf numFmtId="0" fontId="41" fillId="0" borderId="0" xfId="0" applyFont="1" applyFill="1" applyBorder="1"/>
    <xf numFmtId="0" fontId="43" fillId="0" borderId="0" xfId="0" applyFont="1" applyFill="1" applyBorder="1" applyAlignment="1">
      <alignment horizontal="left"/>
    </xf>
    <xf numFmtId="49" fontId="1" fillId="0" borderId="4" xfId="0" applyNumberFormat="1" applyFont="1" applyFill="1" applyBorder="1" applyAlignment="1">
      <alignment horizontal="center"/>
    </xf>
    <xf numFmtId="49" fontId="1" fillId="0" borderId="0" xfId="0" applyNumberFormat="1" applyFont="1" applyFill="1" applyBorder="1" applyAlignment="1">
      <alignment horizontal="center"/>
    </xf>
    <xf numFmtId="0" fontId="23" fillId="0" borderId="0" xfId="0" applyFont="1" applyBorder="1" applyAlignment="1">
      <alignment horizontal="left"/>
    </xf>
    <xf numFmtId="49" fontId="1" fillId="0" borderId="5" xfId="0" applyNumberFormat="1" applyFont="1" applyFill="1" applyBorder="1" applyAlignment="1">
      <alignment horizontal="center"/>
    </xf>
    <xf numFmtId="0" fontId="1" fillId="0" borderId="0" xfId="0" applyFont="1" applyFill="1" applyBorder="1" applyAlignment="1">
      <alignment horizontal="center"/>
    </xf>
    <xf numFmtId="0" fontId="1" fillId="0" borderId="5" xfId="0" applyFont="1" applyFill="1" applyBorder="1" applyAlignment="1">
      <alignment horizontal="center"/>
    </xf>
    <xf numFmtId="0" fontId="16" fillId="0" borderId="15" xfId="0" applyFont="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4" xfId="0" applyFont="1" applyBorder="1" applyAlignment="1">
      <alignment horizontal="left" vertical="top" wrapText="1"/>
    </xf>
    <xf numFmtId="0" fontId="16" fillId="0" borderId="0" xfId="0" applyFont="1" applyBorder="1" applyAlignment="1">
      <alignment horizontal="left" vertical="top" wrapText="1"/>
    </xf>
    <xf numFmtId="0" fontId="16" fillId="0" borderId="5" xfId="0" applyFont="1" applyBorder="1" applyAlignment="1">
      <alignment horizontal="left" vertical="top" wrapText="1"/>
    </xf>
    <xf numFmtId="0" fontId="16" fillId="0" borderId="7" xfId="0" applyFont="1" applyBorder="1" applyAlignment="1">
      <alignment horizontal="left" vertical="top" wrapText="1"/>
    </xf>
    <xf numFmtId="0" fontId="16" fillId="0" borderId="6" xfId="0" applyFont="1" applyBorder="1" applyAlignment="1">
      <alignment horizontal="left" vertical="top" wrapText="1"/>
    </xf>
    <xf numFmtId="0" fontId="16" fillId="0" borderId="11" xfId="0" applyFont="1" applyBorder="1" applyAlignment="1">
      <alignment horizontal="left" vertical="top" wrapText="1"/>
    </xf>
    <xf numFmtId="0" fontId="43" fillId="0" borderId="0" xfId="0" applyFont="1" applyFill="1" applyBorder="1" applyAlignment="1">
      <alignment horizontal="left" vertical="center"/>
    </xf>
    <xf numFmtId="0" fontId="4" fillId="0" borderId="0" xfId="0" applyFont="1" applyFill="1" applyBorder="1" applyAlignment="1">
      <alignment horizontal="left" vertical="top" wrapText="1"/>
    </xf>
    <xf numFmtId="0" fontId="4" fillId="0" borderId="0" xfId="0" applyFont="1" applyFill="1" applyBorder="1" applyAlignment="1">
      <alignment horizontal="left" vertical="center" wrapText="1"/>
    </xf>
    <xf numFmtId="0" fontId="6" fillId="0" borderId="0" xfId="0" applyFont="1" applyFill="1" applyBorder="1" applyAlignment="1">
      <alignment horizontal="left"/>
    </xf>
    <xf numFmtId="0" fontId="6" fillId="0" borderId="5" xfId="0" applyFont="1" applyFill="1" applyBorder="1" applyAlignment="1">
      <alignment horizontal="left"/>
    </xf>
    <xf numFmtId="0" fontId="1" fillId="0" borderId="7" xfId="0" applyFont="1" applyBorder="1" applyAlignment="1">
      <alignment horizontal="center"/>
    </xf>
    <xf numFmtId="0" fontId="1" fillId="0" borderId="6" xfId="0" applyFont="1" applyBorder="1" applyAlignment="1">
      <alignment horizontal="center"/>
    </xf>
    <xf numFmtId="0" fontId="1" fillId="0" borderId="11" xfId="0" applyFont="1" applyBorder="1" applyAlignment="1">
      <alignment horizontal="center"/>
    </xf>
    <xf numFmtId="49" fontId="1" fillId="0" borderId="4" xfId="0" applyNumberFormat="1" applyFont="1" applyFill="1" applyBorder="1" applyAlignment="1" applyProtection="1">
      <alignment horizontal="center"/>
    </xf>
    <xf numFmtId="49" fontId="1" fillId="0" borderId="0" xfId="0" applyNumberFormat="1" applyFont="1" applyFill="1" applyBorder="1" applyAlignment="1" applyProtection="1">
      <alignment horizontal="center"/>
    </xf>
    <xf numFmtId="49" fontId="1" fillId="0" borderId="5" xfId="0" applyNumberFormat="1" applyFont="1" applyFill="1" applyBorder="1" applyAlignment="1" applyProtection="1">
      <alignment horizontal="center"/>
    </xf>
    <xf numFmtId="49" fontId="7" fillId="0" borderId="15"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7" fillId="0" borderId="11" xfId="0" applyNumberFormat="1" applyFont="1" applyBorder="1" applyAlignment="1">
      <alignment horizontal="center" vertical="center"/>
    </xf>
    <xf numFmtId="0" fontId="5" fillId="0" borderId="0" xfId="0" applyFont="1" applyFill="1" applyBorder="1" applyAlignment="1">
      <alignment horizontal="left" vertical="center" wrapText="1"/>
    </xf>
    <xf numFmtId="0" fontId="8" fillId="0" borderId="15"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4" xfId="0" applyFont="1" applyBorder="1" applyAlignment="1">
      <alignment horizontal="left" vertical="top" wrapText="1"/>
    </xf>
    <xf numFmtId="0" fontId="8" fillId="0" borderId="0" xfId="0" applyFont="1" applyBorder="1" applyAlignment="1">
      <alignment horizontal="left" vertical="top" wrapText="1"/>
    </xf>
    <xf numFmtId="0" fontId="8" fillId="0" borderId="5" xfId="0" applyFont="1" applyBorder="1" applyAlignment="1">
      <alignment horizontal="left" vertical="top" wrapText="1"/>
    </xf>
    <xf numFmtId="0" fontId="8" fillId="0" borderId="7" xfId="0" applyFont="1" applyBorder="1" applyAlignment="1">
      <alignment horizontal="left" vertical="top" wrapText="1"/>
    </xf>
    <xf numFmtId="0" fontId="8" fillId="0" borderId="6" xfId="0" applyFont="1" applyBorder="1" applyAlignment="1">
      <alignment horizontal="left" vertical="top" wrapText="1"/>
    </xf>
    <xf numFmtId="0" fontId="8" fillId="0" borderId="11" xfId="0" applyFont="1" applyBorder="1" applyAlignment="1">
      <alignment horizontal="left" vertical="top" wrapText="1"/>
    </xf>
    <xf numFmtId="0" fontId="16" fillId="0" borderId="15"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11" xfId="0" applyFont="1" applyBorder="1" applyAlignment="1">
      <alignment horizontal="left" vertical="center" wrapText="1"/>
    </xf>
    <xf numFmtId="0" fontId="0" fillId="0" borderId="9" xfId="0" applyBorder="1" applyAlignment="1" applyProtection="1">
      <alignment horizontal="center"/>
    </xf>
    <xf numFmtId="0" fontId="0" fillId="0" borderId="5" xfId="0" applyBorder="1" applyAlignment="1" applyProtection="1">
      <alignment horizontal="center"/>
    </xf>
    <xf numFmtId="0" fontId="0" fillId="0" borderId="10" xfId="0" applyBorder="1" applyAlignment="1" applyProtection="1">
      <alignment horizontal="center"/>
    </xf>
    <xf numFmtId="0" fontId="0" fillId="0" borderId="3" xfId="0" applyBorder="1" applyAlignment="1" applyProtection="1">
      <alignment horizontal="center"/>
    </xf>
    <xf numFmtId="0" fontId="16" fillId="0" borderId="15"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16" fillId="0" borderId="4"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6"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42" fillId="0" borderId="15" xfId="0" applyFont="1" applyBorder="1" applyAlignment="1" applyProtection="1">
      <alignment horizontal="left" vertical="top" wrapText="1"/>
      <protection locked="0"/>
    </xf>
    <xf numFmtId="0" fontId="42" fillId="0" borderId="8" xfId="0" applyFont="1" applyBorder="1" applyAlignment="1" applyProtection="1">
      <alignment horizontal="left" vertical="top" wrapText="1"/>
      <protection locked="0"/>
    </xf>
    <xf numFmtId="0" fontId="42" fillId="0" borderId="9" xfId="0" applyFont="1" applyBorder="1" applyAlignment="1" applyProtection="1">
      <alignment horizontal="left" vertical="top" wrapText="1"/>
      <protection locked="0"/>
    </xf>
    <xf numFmtId="0" fontId="42" fillId="0" borderId="4" xfId="0" applyFont="1" applyBorder="1" applyAlignment="1" applyProtection="1">
      <alignment horizontal="left" vertical="top" wrapText="1"/>
      <protection locked="0"/>
    </xf>
    <xf numFmtId="0" fontId="42" fillId="0" borderId="0" xfId="0" applyFont="1" applyBorder="1" applyAlignment="1" applyProtection="1">
      <alignment horizontal="left" vertical="top" wrapText="1"/>
      <protection locked="0"/>
    </xf>
    <xf numFmtId="0" fontId="42" fillId="0" borderId="5" xfId="0" applyFont="1" applyBorder="1" applyAlignment="1" applyProtection="1">
      <alignment horizontal="left" vertical="top" wrapText="1"/>
      <protection locked="0"/>
    </xf>
    <xf numFmtId="0" fontId="42" fillId="0" borderId="7" xfId="0" applyFont="1" applyBorder="1" applyAlignment="1" applyProtection="1">
      <alignment horizontal="left" vertical="top" wrapText="1"/>
      <protection locked="0"/>
    </xf>
    <xf numFmtId="0" fontId="42" fillId="0" borderId="6" xfId="0" applyFont="1" applyBorder="1" applyAlignment="1" applyProtection="1">
      <alignment horizontal="left" vertical="top" wrapText="1"/>
      <protection locked="0"/>
    </xf>
    <xf numFmtId="0" fontId="42" fillId="0" borderId="11" xfId="0" applyFont="1" applyBorder="1" applyAlignment="1" applyProtection="1">
      <alignment horizontal="left" vertical="top" wrapText="1"/>
      <protection locked="0"/>
    </xf>
    <xf numFmtId="0" fontId="45" fillId="3" borderId="15" xfId="0" applyFont="1" applyFill="1" applyBorder="1" applyAlignment="1" applyProtection="1">
      <alignment horizontal="center" vertical="center"/>
      <protection locked="0"/>
    </xf>
    <xf numFmtId="0" fontId="46" fillId="3" borderId="8" xfId="0" applyFont="1" applyFill="1" applyBorder="1" applyAlignment="1" applyProtection="1">
      <alignment horizontal="center" vertical="center"/>
      <protection locked="0"/>
    </xf>
    <xf numFmtId="0" fontId="46" fillId="3" borderId="9" xfId="0" applyFont="1" applyFill="1" applyBorder="1" applyAlignment="1" applyProtection="1">
      <alignment horizontal="center" vertical="center"/>
      <protection locked="0"/>
    </xf>
    <xf numFmtId="0" fontId="46" fillId="3" borderId="7" xfId="0" applyFont="1" applyFill="1" applyBorder="1" applyAlignment="1" applyProtection="1">
      <alignment horizontal="center" vertical="center"/>
      <protection locked="0"/>
    </xf>
    <xf numFmtId="0" fontId="46" fillId="3" borderId="6" xfId="0" applyFont="1" applyFill="1" applyBorder="1" applyAlignment="1" applyProtection="1">
      <alignment horizontal="center" vertical="center"/>
      <protection locked="0"/>
    </xf>
    <xf numFmtId="0" fontId="46" fillId="3" borderId="11" xfId="0" applyFont="1" applyFill="1" applyBorder="1" applyAlignment="1" applyProtection="1">
      <alignment horizontal="center" vertical="center"/>
      <protection locked="0"/>
    </xf>
    <xf numFmtId="49" fontId="3" fillId="0" borderId="0" xfId="0" applyNumberFormat="1" applyFont="1" applyFill="1" applyBorder="1" applyAlignment="1">
      <alignment horizontal="left"/>
    </xf>
    <xf numFmtId="0" fontId="16" fillId="0" borderId="0" xfId="0" applyFont="1" applyBorder="1" applyAlignment="1">
      <alignment horizontal="right" vertical="top" wrapText="1"/>
    </xf>
    <xf numFmtId="49" fontId="15" fillId="3" borderId="1" xfId="0" applyNumberFormat="1" applyFont="1" applyFill="1" applyBorder="1" applyAlignment="1">
      <alignment horizontal="center" vertical="center" wrapText="1"/>
    </xf>
    <xf numFmtId="0" fontId="29" fillId="0" borderId="8" xfId="0" applyFont="1" applyBorder="1" applyAlignment="1">
      <alignment horizontal="left" vertical="center" wrapText="1"/>
    </xf>
    <xf numFmtId="0" fontId="29" fillId="0" borderId="0" xfId="0" applyFont="1" applyAlignment="1">
      <alignment horizontal="left" vertical="center" wrapText="1"/>
    </xf>
    <xf numFmtId="0" fontId="20"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23" fillId="0" borderId="6" xfId="0" applyFont="1" applyBorder="1" applyAlignment="1">
      <alignment horizontal="center" vertical="justify" wrapText="1"/>
    </xf>
    <xf numFmtId="0" fontId="16" fillId="0" borderId="6" xfId="0" applyFont="1" applyBorder="1" applyAlignment="1">
      <alignment horizontal="center" vertical="justify" wrapText="1"/>
    </xf>
    <xf numFmtId="0" fontId="0" fillId="3" borderId="2" xfId="0" applyFill="1" applyBorder="1" applyAlignment="1">
      <alignment horizontal="center" vertical="center"/>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20" fillId="3" borderId="15" xfId="0" applyFont="1" applyFill="1" applyBorder="1" applyAlignment="1">
      <alignment horizontal="center" vertical="center"/>
    </xf>
    <xf numFmtId="0" fontId="0" fillId="3" borderId="4" xfId="0" applyFill="1" applyBorder="1" applyAlignment="1">
      <alignment horizontal="center"/>
    </xf>
    <xf numFmtId="0" fontId="0" fillId="3" borderId="7" xfId="0" applyFill="1" applyBorder="1" applyAlignment="1">
      <alignment horizontal="center"/>
    </xf>
    <xf numFmtId="0" fontId="19" fillId="3" borderId="9" xfId="0" applyFont="1" applyFill="1" applyBorder="1" applyAlignment="1">
      <alignment horizontal="center" vertical="center"/>
    </xf>
    <xf numFmtId="0" fontId="19" fillId="3" borderId="5" xfId="0" applyFont="1" applyFill="1" applyBorder="1" applyAlignment="1">
      <alignment horizontal="center"/>
    </xf>
    <xf numFmtId="0" fontId="19" fillId="3" borderId="11" xfId="0" applyFont="1" applyFill="1" applyBorder="1" applyAlignment="1">
      <alignment horizontal="center"/>
    </xf>
    <xf numFmtId="0" fontId="21" fillId="0" borderId="1" xfId="0" applyFont="1" applyBorder="1" applyAlignment="1">
      <alignment vertical="justify"/>
    </xf>
    <xf numFmtId="0" fontId="16" fillId="0" borderId="1" xfId="0" applyFont="1" applyBorder="1" applyAlignment="1"/>
    <xf numFmtId="0" fontId="16" fillId="0" borderId="2" xfId="0" applyFont="1" applyBorder="1" applyAlignment="1">
      <alignment horizontal="center" vertical="center"/>
    </xf>
    <xf numFmtId="0" fontId="4" fillId="0" borderId="3" xfId="0" applyFont="1" applyBorder="1" applyAlignment="1">
      <alignment vertical="center"/>
    </xf>
    <xf numFmtId="0" fontId="16"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6" fillId="0" borderId="13" xfId="0" applyFont="1" applyBorder="1" applyAlignment="1">
      <alignment horizontal="center"/>
    </xf>
    <xf numFmtId="0" fontId="16" fillId="0" borderId="14" xfId="0" applyFont="1" applyBorder="1" applyAlignment="1">
      <alignment horizontal="center"/>
    </xf>
    <xf numFmtId="0" fontId="0" fillId="0" borderId="0" xfId="0" applyFill="1" applyAlignment="1">
      <alignment horizontal="center"/>
    </xf>
    <xf numFmtId="0" fontId="0" fillId="2" borderId="0" xfId="0" applyFill="1" applyAlignment="1">
      <alignment horizontal="center"/>
    </xf>
    <xf numFmtId="0" fontId="45" fillId="0" borderId="15" xfId="0" applyNumberFormat="1" applyFont="1" applyFill="1" applyBorder="1" applyAlignment="1">
      <alignment horizontal="center" vertical="center"/>
    </xf>
    <xf numFmtId="0" fontId="45" fillId="0" borderId="8" xfId="0" applyNumberFormat="1" applyFont="1" applyFill="1" applyBorder="1" applyAlignment="1">
      <alignment horizontal="center" vertical="center"/>
    </xf>
    <xf numFmtId="0" fontId="45" fillId="0" borderId="9" xfId="0" applyNumberFormat="1" applyFont="1" applyFill="1" applyBorder="1" applyAlignment="1">
      <alignment horizontal="center" vertical="center"/>
    </xf>
    <xf numFmtId="0" fontId="45" fillId="0" borderId="7" xfId="0" applyNumberFormat="1" applyFont="1" applyFill="1" applyBorder="1" applyAlignment="1">
      <alignment horizontal="center" vertical="center"/>
    </xf>
    <xf numFmtId="0" fontId="45" fillId="0" borderId="6" xfId="0" applyNumberFormat="1" applyFont="1" applyFill="1" applyBorder="1" applyAlignment="1">
      <alignment horizontal="center" vertical="center"/>
    </xf>
    <xf numFmtId="0" fontId="45" fillId="0" borderId="11" xfId="0" applyNumberFormat="1" applyFont="1" applyFill="1" applyBorder="1" applyAlignment="1">
      <alignment horizontal="center" vertical="center"/>
    </xf>
    <xf numFmtId="0" fontId="5" fillId="0" borderId="15" xfId="0" applyFont="1" applyBorder="1" applyAlignment="1">
      <alignment horizontal="center"/>
    </xf>
    <xf numFmtId="0" fontId="5" fillId="0" borderId="9"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7" xfId="0" applyFont="1" applyBorder="1" applyAlignment="1">
      <alignment horizontal="center"/>
    </xf>
    <xf numFmtId="0" fontId="5" fillId="0" borderId="11" xfId="0" applyFont="1" applyBorder="1" applyAlignment="1">
      <alignment horizontal="center"/>
    </xf>
    <xf numFmtId="49" fontId="7" fillId="0" borderId="15" xfId="0" applyNumberFormat="1" applyFont="1" applyFill="1" applyBorder="1" applyAlignment="1">
      <alignment horizontal="center" vertical="center"/>
    </xf>
    <xf numFmtId="49" fontId="7" fillId="0" borderId="8" xfId="0" applyNumberFormat="1" applyFont="1" applyFill="1" applyBorder="1" applyAlignment="1">
      <alignment horizontal="center" vertical="center"/>
    </xf>
    <xf numFmtId="49" fontId="7" fillId="0" borderId="9" xfId="0" applyNumberFormat="1" applyFont="1" applyFill="1" applyBorder="1" applyAlignment="1">
      <alignment horizontal="center" vertical="center"/>
    </xf>
    <xf numFmtId="49" fontId="7" fillId="0" borderId="7" xfId="0" applyNumberFormat="1" applyFont="1" applyFill="1" applyBorder="1" applyAlignment="1">
      <alignment horizontal="center" vertical="center"/>
    </xf>
    <xf numFmtId="49" fontId="7" fillId="0" borderId="6" xfId="0" applyNumberFormat="1" applyFont="1" applyFill="1" applyBorder="1" applyAlignment="1">
      <alignment horizontal="center" vertical="center"/>
    </xf>
    <xf numFmtId="49" fontId="7" fillId="0" borderId="11" xfId="0" applyNumberFormat="1" applyFont="1" applyFill="1" applyBorder="1" applyAlignment="1">
      <alignment horizontal="center" vertical="center"/>
    </xf>
    <xf numFmtId="0" fontId="5" fillId="0" borderId="1" xfId="0" applyFont="1" applyFill="1" applyBorder="1" applyAlignment="1">
      <alignment horizontal="center"/>
    </xf>
    <xf numFmtId="165" fontId="5" fillId="0" borderId="1" xfId="0" applyNumberFormat="1" applyFont="1" applyFill="1" applyBorder="1" applyAlignment="1">
      <alignment horizontal="center"/>
    </xf>
    <xf numFmtId="0" fontId="5" fillId="0" borderId="0" xfId="0" applyFont="1" applyFill="1" applyBorder="1" applyAlignment="1">
      <alignment horizontal="left"/>
    </xf>
    <xf numFmtId="0" fontId="1" fillId="0" borderId="0" xfId="0" applyFont="1" applyFill="1" applyBorder="1" applyAlignment="1">
      <alignment horizontal="left"/>
    </xf>
    <xf numFmtId="0" fontId="8" fillId="0" borderId="8" xfId="0" applyFont="1" applyFill="1" applyBorder="1" applyAlignment="1">
      <alignment horizontal="center"/>
    </xf>
    <xf numFmtId="0" fontId="0" fillId="0" borderId="0" xfId="0" applyFill="1" applyBorder="1" applyAlignment="1">
      <alignment horizontal="left" vertical="top" wrapText="1"/>
    </xf>
    <xf numFmtId="0" fontId="35" fillId="0" borderId="0" xfId="0" applyFont="1" applyFill="1" applyBorder="1" applyAlignment="1">
      <alignment horizontal="left"/>
    </xf>
    <xf numFmtId="0" fontId="4" fillId="0" borderId="0" xfId="0" applyFont="1" applyFill="1" applyBorder="1" applyAlignment="1">
      <alignment horizontal="left"/>
    </xf>
    <xf numFmtId="0" fontId="0" fillId="0" borderId="0" xfId="0" applyFill="1" applyBorder="1" applyAlignment="1">
      <alignment horizontal="left"/>
    </xf>
    <xf numFmtId="49" fontId="35" fillId="0" borderId="6" xfId="0" applyNumberFormat="1" applyFont="1" applyFill="1" applyBorder="1" applyAlignment="1">
      <alignment horizontal="right"/>
    </xf>
    <xf numFmtId="0" fontId="35" fillId="0" borderId="6" xfId="0" applyFont="1" applyFill="1" applyBorder="1" applyAlignment="1">
      <alignment horizontal="right"/>
    </xf>
    <xf numFmtId="0" fontId="35" fillId="0" borderId="11" xfId="0" applyFont="1" applyFill="1" applyBorder="1" applyAlignment="1">
      <alignment horizontal="right"/>
    </xf>
    <xf numFmtId="0" fontId="5" fillId="0" borderId="0" xfId="0" applyFont="1" applyFill="1" applyBorder="1" applyAlignment="1">
      <alignment horizontal="center" vertical="center" wrapText="1"/>
    </xf>
    <xf numFmtId="165" fontId="4" fillId="0" borderId="12" xfId="0" applyNumberFormat="1" applyFont="1" applyFill="1" applyBorder="1" applyAlignment="1">
      <alignment horizontal="center"/>
    </xf>
    <xf numFmtId="165" fontId="4" fillId="0" borderId="14" xfId="0" applyNumberFormat="1" applyFont="1" applyFill="1" applyBorder="1" applyAlignment="1">
      <alignment horizontal="center"/>
    </xf>
    <xf numFmtId="0" fontId="5" fillId="0" borderId="1" xfId="0" applyFont="1" applyFill="1" applyBorder="1" applyAlignment="1">
      <alignment horizontal="center" vertical="center" wrapText="1"/>
    </xf>
    <xf numFmtId="0" fontId="5" fillId="0" borderId="0" xfId="0" applyFont="1" applyFill="1" applyBorder="1" applyAlignment="1">
      <alignment horizontal="center"/>
    </xf>
    <xf numFmtId="2" fontId="1" fillId="0" borderId="0" xfId="0" applyNumberFormat="1" applyFont="1" applyFill="1" applyBorder="1" applyAlignment="1">
      <alignment horizontal="center"/>
    </xf>
    <xf numFmtId="0" fontId="5" fillId="0" borderId="0" xfId="0" applyFont="1" applyAlignment="1">
      <alignment horizontal="center"/>
    </xf>
    <xf numFmtId="0" fontId="6" fillId="0" borderId="0" xfId="0" applyFont="1" applyFill="1" applyBorder="1" applyAlignment="1">
      <alignment horizontal="right"/>
    </xf>
    <xf numFmtId="1" fontId="6" fillId="0" borderId="0" xfId="0" applyNumberFormat="1" applyFont="1" applyFill="1" applyBorder="1" applyAlignment="1">
      <alignment horizontal="right"/>
    </xf>
    <xf numFmtId="2" fontId="6" fillId="0" borderId="0" xfId="0" applyNumberFormat="1" applyFont="1" applyFill="1" applyBorder="1" applyAlignment="1">
      <alignment horizontal="right"/>
    </xf>
    <xf numFmtId="0" fontId="0" fillId="0" borderId="0" xfId="0" applyFill="1" applyBorder="1" applyAlignment="1">
      <alignment horizontal="center"/>
    </xf>
    <xf numFmtId="0" fontId="15" fillId="0" borderId="0" xfId="0" applyFont="1" applyFill="1" applyBorder="1" applyAlignment="1">
      <alignment horizontal="left"/>
    </xf>
    <xf numFmtId="2" fontId="35" fillId="2" borderId="13" xfId="0" applyNumberFormat="1" applyFont="1" applyFill="1" applyBorder="1" applyAlignment="1">
      <alignment horizontal="center"/>
    </xf>
    <xf numFmtId="2" fontId="35" fillId="2" borderId="14" xfId="0" applyNumberFormat="1" applyFont="1" applyFill="1" applyBorder="1" applyAlignment="1">
      <alignment horizontal="center"/>
    </xf>
    <xf numFmtId="0" fontId="36" fillId="0" borderId="0" xfId="0" applyFont="1" applyFill="1" applyBorder="1" applyAlignment="1">
      <alignment horizontal="left"/>
    </xf>
    <xf numFmtId="2" fontId="35" fillId="0" borderId="1" xfId="0" applyNumberFormat="1" applyFont="1" applyFill="1" applyBorder="1" applyAlignment="1">
      <alignment horizontal="center"/>
    </xf>
    <xf numFmtId="2" fontId="35" fillId="0" borderId="12" xfId="0" applyNumberFormat="1" applyFont="1" applyFill="1" applyBorder="1" applyAlignment="1">
      <alignment horizontal="center"/>
    </xf>
    <xf numFmtId="2" fontId="35" fillId="0" borderId="13" xfId="0" applyNumberFormat="1" applyFont="1" applyFill="1" applyBorder="1" applyAlignment="1">
      <alignment horizontal="center"/>
    </xf>
    <xf numFmtId="2" fontId="35" fillId="0" borderId="14" xfId="0" applyNumberFormat="1" applyFont="1" applyFill="1" applyBorder="1" applyAlignment="1">
      <alignment horizontal="center"/>
    </xf>
    <xf numFmtId="2" fontId="35" fillId="2" borderId="12" xfId="0" applyNumberFormat="1" applyFont="1" applyFill="1" applyBorder="1" applyAlignment="1">
      <alignment horizontal="center"/>
    </xf>
    <xf numFmtId="49" fontId="5" fillId="0" borderId="0" xfId="0" applyNumberFormat="1" applyFont="1" applyAlignment="1">
      <alignment horizontal="center"/>
    </xf>
    <xf numFmtId="1" fontId="5" fillId="0" borderId="0" xfId="0" applyNumberFormat="1" applyFont="1" applyAlignment="1">
      <alignment horizontal="center"/>
    </xf>
    <xf numFmtId="1" fontId="33" fillId="4" borderId="0" xfId="0" applyNumberFormat="1" applyFont="1" applyFill="1" applyBorder="1" applyAlignment="1">
      <alignment horizontal="center"/>
    </xf>
    <xf numFmtId="165" fontId="33" fillId="4" borderId="0" xfId="0" applyNumberFormat="1" applyFont="1" applyFill="1" applyBorder="1" applyAlignment="1">
      <alignment horizontal="center"/>
    </xf>
    <xf numFmtId="0" fontId="35" fillId="2" borderId="12" xfId="0" applyFont="1" applyFill="1" applyBorder="1" applyAlignment="1">
      <alignment horizontal="center"/>
    </xf>
    <xf numFmtId="0" fontId="35" fillId="2" borderId="13" xfId="0" applyFont="1" applyFill="1" applyBorder="1" applyAlignment="1">
      <alignment horizontal="center"/>
    </xf>
    <xf numFmtId="0" fontId="35" fillId="2" borderId="14" xfId="0" applyFont="1" applyFill="1" applyBorder="1" applyAlignment="1">
      <alignment horizontal="center"/>
    </xf>
    <xf numFmtId="0" fontId="25" fillId="0" borderId="4" xfId="0" applyFont="1" applyBorder="1" applyAlignment="1" applyProtection="1">
      <alignment horizontal="left" vertical="top" wrapText="1"/>
      <protection locked="0"/>
    </xf>
    <xf numFmtId="0" fontId="25" fillId="0" borderId="0" xfId="0" applyFont="1" applyBorder="1" applyAlignment="1" applyProtection="1">
      <alignment horizontal="left" vertical="top" wrapText="1"/>
      <protection locked="0"/>
    </xf>
    <xf numFmtId="0" fontId="25" fillId="0" borderId="5" xfId="0" applyFont="1" applyBorder="1" applyAlignment="1" applyProtection="1">
      <alignment horizontal="left" vertical="top" wrapText="1"/>
      <protection locked="0"/>
    </xf>
    <xf numFmtId="2" fontId="35" fillId="2" borderId="1" xfId="0" applyNumberFormat="1" applyFont="1" applyFill="1" applyBorder="1" applyAlignment="1">
      <alignment horizontal="center"/>
    </xf>
    <xf numFmtId="0" fontId="41" fillId="0" borderId="15" xfId="0" applyFont="1" applyFill="1" applyBorder="1" applyAlignment="1">
      <alignment horizontal="left" vertical="top" wrapText="1"/>
    </xf>
    <xf numFmtId="0" fontId="41" fillId="0" borderId="8" xfId="0" applyFont="1" applyFill="1" applyBorder="1" applyAlignment="1">
      <alignment horizontal="left" vertical="top" wrapText="1"/>
    </xf>
    <xf numFmtId="0" fontId="41" fillId="0" borderId="4" xfId="0" applyFont="1" applyFill="1" applyBorder="1" applyAlignment="1">
      <alignment horizontal="left" vertical="top" wrapText="1"/>
    </xf>
    <xf numFmtId="0" fontId="41" fillId="0" borderId="0" xfId="0" applyFont="1" applyFill="1" applyBorder="1" applyAlignment="1">
      <alignment horizontal="left" vertical="top" wrapText="1"/>
    </xf>
    <xf numFmtId="0" fontId="41" fillId="0" borderId="7" xfId="0" applyFont="1" applyFill="1" applyBorder="1" applyAlignment="1">
      <alignment horizontal="left" vertical="top" wrapText="1"/>
    </xf>
    <xf numFmtId="0" fontId="41" fillId="0" borderId="6" xfId="0" applyFont="1" applyFill="1" applyBorder="1" applyAlignment="1">
      <alignment horizontal="left" vertical="top" wrapText="1"/>
    </xf>
    <xf numFmtId="0" fontId="41" fillId="0" borderId="11" xfId="0" applyFont="1" applyFill="1" applyBorder="1" applyAlignment="1">
      <alignment horizontal="left" vertical="top" wrapText="1"/>
    </xf>
    <xf numFmtId="0" fontId="35" fillId="0" borderId="6" xfId="0" applyFont="1" applyFill="1" applyBorder="1" applyAlignment="1">
      <alignment horizontal="center"/>
    </xf>
    <xf numFmtId="0" fontId="35" fillId="0" borderId="11" xfId="0" applyFont="1" applyFill="1" applyBorder="1" applyAlignment="1">
      <alignment horizontal="center"/>
    </xf>
    <xf numFmtId="0" fontId="35" fillId="0" borderId="7" xfId="0" applyFont="1" applyFill="1" applyBorder="1" applyAlignment="1">
      <alignment horizontal="center"/>
    </xf>
    <xf numFmtId="0" fontId="41" fillId="0" borderId="15" xfId="0" applyFont="1" applyFill="1" applyBorder="1" applyAlignment="1">
      <alignment horizontal="center"/>
    </xf>
    <xf numFmtId="0" fontId="41" fillId="0" borderId="8" xfId="0" applyFont="1" applyFill="1" applyBorder="1" applyAlignment="1">
      <alignment horizontal="center"/>
    </xf>
    <xf numFmtId="0" fontId="41" fillId="0" borderId="9" xfId="0" applyFont="1" applyFill="1" applyBorder="1" applyAlignment="1">
      <alignment horizontal="center"/>
    </xf>
    <xf numFmtId="0" fontId="35" fillId="0" borderId="4" xfId="0" applyFont="1" applyFill="1" applyBorder="1" applyAlignment="1">
      <alignment horizontal="center"/>
    </xf>
    <xf numFmtId="0" fontId="35" fillId="0" borderId="0" xfId="0" applyFont="1" applyFill="1" applyBorder="1" applyAlignment="1">
      <alignment horizontal="center"/>
    </xf>
    <xf numFmtId="0" fontId="35" fillId="0" borderId="5" xfId="0" applyFont="1" applyFill="1" applyBorder="1" applyAlignment="1">
      <alignment horizontal="center"/>
    </xf>
    <xf numFmtId="0" fontId="35" fillId="0" borderId="1" xfId="0" applyFont="1" applyFill="1" applyBorder="1" applyAlignment="1">
      <alignment horizontal="center"/>
    </xf>
    <xf numFmtId="0" fontId="8" fillId="0" borderId="0" xfId="0" applyFont="1" applyBorder="1" applyAlignment="1">
      <alignment horizontal="left"/>
    </xf>
    <xf numFmtId="0" fontId="8" fillId="0" borderId="0" xfId="0" applyFont="1" applyFill="1" applyBorder="1" applyAlignment="1">
      <alignment horizontal="left"/>
    </xf>
    <xf numFmtId="49" fontId="1" fillId="0" borderId="0" xfId="0" applyNumberFormat="1" applyFont="1" applyFill="1" applyBorder="1" applyAlignment="1">
      <alignment horizontal="left" vertical="center" wrapText="1"/>
    </xf>
    <xf numFmtId="0" fontId="6" fillId="0" borderId="0" xfId="0" applyFont="1" applyBorder="1" applyAlignment="1">
      <alignment horizontal="left"/>
    </xf>
  </cellXfs>
  <cellStyles count="1">
    <cellStyle name="Standard" xfId="0" builtinId="0"/>
  </cellStyles>
  <dxfs count="21">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indexed="52"/>
      </font>
    </dxf>
    <dxf>
      <font>
        <condense val="0"/>
        <extend val="0"/>
        <color auto="1"/>
      </font>
      <fill>
        <patternFill>
          <bgColor indexed="42"/>
        </patternFill>
      </fill>
    </dxf>
    <dxf>
      <fill>
        <patternFill>
          <bgColor indexed="42"/>
        </patternFill>
      </fill>
    </dxf>
    <dxf>
      <fill>
        <patternFill>
          <bgColor indexed="4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EB"/>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CC"/>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8</xdr:col>
      <xdr:colOff>104775</xdr:colOff>
      <xdr:row>0</xdr:row>
      <xdr:rowOff>57150</xdr:rowOff>
    </xdr:from>
    <xdr:to>
      <xdr:col>8</xdr:col>
      <xdr:colOff>581025</xdr:colOff>
      <xdr:row>3</xdr:row>
      <xdr:rowOff>28575</xdr:rowOff>
    </xdr:to>
    <xdr:pic>
      <xdr:nvPicPr>
        <xdr:cNvPr id="2079" name="Picture 31" descr="Logo ÖWAV blau neu">
          <a:extLst>
            <a:ext uri="{FF2B5EF4-FFF2-40B4-BE49-F238E27FC236}">
              <a16:creationId xmlns:a16="http://schemas.microsoft.com/office/drawing/2014/main" id="{00000000-0008-0000-0000-00001F0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72150" y="57150"/>
          <a:ext cx="476250" cy="438150"/>
        </a:xfrm>
        <a:prstGeom prst="rect">
          <a:avLst/>
        </a:prstGeom>
        <a:noFill/>
      </xdr:spPr>
    </xdr:pic>
    <xdr:clientData/>
  </xdr:twoCellAnchor>
  <xdr:twoCellAnchor>
    <xdr:from>
      <xdr:col>8</xdr:col>
      <xdr:colOff>123825</xdr:colOff>
      <xdr:row>3</xdr:row>
      <xdr:rowOff>57150</xdr:rowOff>
    </xdr:from>
    <xdr:to>
      <xdr:col>8</xdr:col>
      <xdr:colOff>581025</xdr:colOff>
      <xdr:row>3</xdr:row>
      <xdr:rowOff>219075</xdr:rowOff>
    </xdr:to>
    <xdr:pic>
      <xdr:nvPicPr>
        <xdr:cNvPr id="2080" name="Picture 32" descr="Logo VÖB">
          <a:extLst>
            <a:ext uri="{FF2B5EF4-FFF2-40B4-BE49-F238E27FC236}">
              <a16:creationId xmlns:a16="http://schemas.microsoft.com/office/drawing/2014/main" id="{00000000-0008-0000-0000-00002008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5791200" y="523875"/>
          <a:ext cx="457200" cy="1619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219075</xdr:colOff>
      <xdr:row>42</xdr:row>
      <xdr:rowOff>47625</xdr:rowOff>
    </xdr:from>
    <xdr:to>
      <xdr:col>10</xdr:col>
      <xdr:colOff>238125</xdr:colOff>
      <xdr:row>43</xdr:row>
      <xdr:rowOff>209550</xdr:rowOff>
    </xdr:to>
    <xdr:sp macro="" textlink="">
      <xdr:nvSpPr>
        <xdr:cNvPr id="1027" name="Freeform 3">
          <a:extLst>
            <a:ext uri="{FF2B5EF4-FFF2-40B4-BE49-F238E27FC236}">
              <a16:creationId xmlns:a16="http://schemas.microsoft.com/office/drawing/2014/main" id="{00000000-0008-0000-0300-000003040000}"/>
            </a:ext>
          </a:extLst>
        </xdr:cNvPr>
        <xdr:cNvSpPr>
          <a:spLocks/>
        </xdr:cNvSpPr>
      </xdr:nvSpPr>
      <xdr:spPr bwMode="auto">
        <a:xfrm>
          <a:off x="3295650" y="7258050"/>
          <a:ext cx="1438275" cy="238125"/>
        </a:xfrm>
        <a:custGeom>
          <a:avLst/>
          <a:gdLst/>
          <a:ahLst/>
          <a:cxnLst>
            <a:cxn ang="0">
              <a:pos x="0" y="0"/>
            </a:cxn>
            <a:cxn ang="0">
              <a:pos x="11" y="0"/>
            </a:cxn>
            <a:cxn ang="0">
              <a:pos x="12" y="25"/>
            </a:cxn>
            <a:cxn ang="0">
              <a:pos x="17" y="0"/>
            </a:cxn>
            <a:cxn ang="0">
              <a:pos x="143" y="0"/>
            </a:cxn>
          </a:cxnLst>
          <a:rect l="0" t="0" r="r" b="b"/>
          <a:pathLst>
            <a:path w="143" h="25">
              <a:moveTo>
                <a:pt x="0" y="0"/>
              </a:moveTo>
              <a:cubicBezTo>
                <a:pt x="4" y="0"/>
                <a:pt x="7" y="0"/>
                <a:pt x="11" y="0"/>
              </a:cubicBezTo>
              <a:lnTo>
                <a:pt x="12" y="25"/>
              </a:lnTo>
              <a:lnTo>
                <a:pt x="17" y="0"/>
              </a:lnTo>
              <a:lnTo>
                <a:pt x="143" y="0"/>
              </a:lnTo>
            </a:path>
          </a:pathLst>
        </a:custGeom>
        <a:noFill/>
        <a:ln w="9525">
          <a:solidFill>
            <a:srgbClr val="000000"/>
          </a:solidFill>
          <a:round/>
          <a:headEnd/>
          <a:tailEnd/>
        </a:ln>
      </xdr:spPr>
    </xdr:sp>
    <xdr:clientData/>
  </xdr:twoCellAnchor>
  <xdr:twoCellAnchor>
    <xdr:from>
      <xdr:col>7</xdr:col>
      <xdr:colOff>209550</xdr:colOff>
      <xdr:row>44</xdr:row>
      <xdr:rowOff>47625</xdr:rowOff>
    </xdr:from>
    <xdr:to>
      <xdr:col>10</xdr:col>
      <xdr:colOff>228600</xdr:colOff>
      <xdr:row>45</xdr:row>
      <xdr:rowOff>209550</xdr:rowOff>
    </xdr:to>
    <xdr:sp macro="" textlink="">
      <xdr:nvSpPr>
        <xdr:cNvPr id="1028" name="Freeform 4">
          <a:extLst>
            <a:ext uri="{FF2B5EF4-FFF2-40B4-BE49-F238E27FC236}">
              <a16:creationId xmlns:a16="http://schemas.microsoft.com/office/drawing/2014/main" id="{00000000-0008-0000-0300-000004040000}"/>
            </a:ext>
          </a:extLst>
        </xdr:cNvPr>
        <xdr:cNvSpPr>
          <a:spLocks/>
        </xdr:cNvSpPr>
      </xdr:nvSpPr>
      <xdr:spPr bwMode="auto">
        <a:xfrm>
          <a:off x="3286125" y="7562850"/>
          <a:ext cx="1438275" cy="238125"/>
        </a:xfrm>
        <a:custGeom>
          <a:avLst/>
          <a:gdLst/>
          <a:ahLst/>
          <a:cxnLst>
            <a:cxn ang="0">
              <a:pos x="0" y="0"/>
            </a:cxn>
            <a:cxn ang="0">
              <a:pos x="11" y="0"/>
            </a:cxn>
            <a:cxn ang="0">
              <a:pos x="12" y="25"/>
            </a:cxn>
            <a:cxn ang="0">
              <a:pos x="17" y="0"/>
            </a:cxn>
            <a:cxn ang="0">
              <a:pos x="143" y="0"/>
            </a:cxn>
          </a:cxnLst>
          <a:rect l="0" t="0" r="r" b="b"/>
          <a:pathLst>
            <a:path w="143" h="25">
              <a:moveTo>
                <a:pt x="0" y="0"/>
              </a:moveTo>
              <a:cubicBezTo>
                <a:pt x="4" y="0"/>
                <a:pt x="7" y="0"/>
                <a:pt x="11" y="0"/>
              </a:cubicBezTo>
              <a:lnTo>
                <a:pt x="12" y="25"/>
              </a:lnTo>
              <a:lnTo>
                <a:pt x="17" y="0"/>
              </a:lnTo>
              <a:lnTo>
                <a:pt x="143" y="0"/>
              </a:lnTo>
            </a:path>
          </a:pathLst>
        </a:custGeom>
        <a:noFill/>
        <a:ln w="9525">
          <a:solidFill>
            <a:srgbClr val="000000"/>
          </a:solidFill>
          <a:round/>
          <a:headEnd/>
          <a:tailEnd/>
        </a:ln>
      </xdr:spPr>
    </xdr:sp>
    <xdr:clientData/>
  </xdr:twoCellAnchor>
  <xdr:twoCellAnchor>
    <xdr:from>
      <xdr:col>14</xdr:col>
      <xdr:colOff>123825</xdr:colOff>
      <xdr:row>123</xdr:row>
      <xdr:rowOff>19050</xdr:rowOff>
    </xdr:from>
    <xdr:to>
      <xdr:col>14</xdr:col>
      <xdr:colOff>600075</xdr:colOff>
      <xdr:row>125</xdr:row>
      <xdr:rowOff>0</xdr:rowOff>
    </xdr:to>
    <xdr:pic>
      <xdr:nvPicPr>
        <xdr:cNvPr id="1063" name="Picture 39" descr="Logo ÖWAV blau neu">
          <a:extLst>
            <a:ext uri="{FF2B5EF4-FFF2-40B4-BE49-F238E27FC236}">
              <a16:creationId xmlns:a16="http://schemas.microsoft.com/office/drawing/2014/main" id="{00000000-0008-0000-0300-000027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91375" y="23174325"/>
          <a:ext cx="476250" cy="438150"/>
        </a:xfrm>
        <a:prstGeom prst="rect">
          <a:avLst/>
        </a:prstGeom>
        <a:noFill/>
      </xdr:spPr>
    </xdr:pic>
    <xdr:clientData/>
  </xdr:twoCellAnchor>
  <xdr:twoCellAnchor>
    <xdr:from>
      <xdr:col>14</xdr:col>
      <xdr:colOff>142875</xdr:colOff>
      <xdr:row>125</xdr:row>
      <xdr:rowOff>28575</xdr:rowOff>
    </xdr:from>
    <xdr:to>
      <xdr:col>14</xdr:col>
      <xdr:colOff>600075</xdr:colOff>
      <xdr:row>125</xdr:row>
      <xdr:rowOff>190500</xdr:rowOff>
    </xdr:to>
    <xdr:pic>
      <xdr:nvPicPr>
        <xdr:cNvPr id="1064" name="Picture 40" descr="Logo VÖB">
          <a:extLst>
            <a:ext uri="{FF2B5EF4-FFF2-40B4-BE49-F238E27FC236}">
              <a16:creationId xmlns:a16="http://schemas.microsoft.com/office/drawing/2014/main" id="{00000000-0008-0000-0300-0000280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210425" y="23641050"/>
          <a:ext cx="457200" cy="161925"/>
        </a:xfrm>
        <a:prstGeom prst="rect">
          <a:avLst/>
        </a:prstGeom>
        <a:noFill/>
      </xdr:spPr>
    </xdr:pic>
    <xdr:clientData/>
  </xdr:twoCellAnchor>
  <xdr:twoCellAnchor>
    <xdr:from>
      <xdr:col>14</xdr:col>
      <xdr:colOff>123825</xdr:colOff>
      <xdr:row>63</xdr:row>
      <xdr:rowOff>19050</xdr:rowOff>
    </xdr:from>
    <xdr:to>
      <xdr:col>14</xdr:col>
      <xdr:colOff>600075</xdr:colOff>
      <xdr:row>65</xdr:row>
      <xdr:rowOff>57150</xdr:rowOff>
    </xdr:to>
    <xdr:pic>
      <xdr:nvPicPr>
        <xdr:cNvPr id="1065" name="Picture 41" descr="Logo ÖWAV blau neu">
          <a:extLst>
            <a:ext uri="{FF2B5EF4-FFF2-40B4-BE49-F238E27FC236}">
              <a16:creationId xmlns:a16="http://schemas.microsoft.com/office/drawing/2014/main" id="{00000000-0008-0000-0300-00002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91375" y="10944225"/>
          <a:ext cx="476250" cy="438150"/>
        </a:xfrm>
        <a:prstGeom prst="rect">
          <a:avLst/>
        </a:prstGeom>
        <a:noFill/>
      </xdr:spPr>
    </xdr:pic>
    <xdr:clientData/>
  </xdr:twoCellAnchor>
  <xdr:twoCellAnchor>
    <xdr:from>
      <xdr:col>14</xdr:col>
      <xdr:colOff>142875</xdr:colOff>
      <xdr:row>65</xdr:row>
      <xdr:rowOff>85725</xdr:rowOff>
    </xdr:from>
    <xdr:to>
      <xdr:col>14</xdr:col>
      <xdr:colOff>600075</xdr:colOff>
      <xdr:row>65</xdr:row>
      <xdr:rowOff>247650</xdr:rowOff>
    </xdr:to>
    <xdr:pic>
      <xdr:nvPicPr>
        <xdr:cNvPr id="1066" name="Picture 42" descr="Logo VÖB">
          <a:extLst>
            <a:ext uri="{FF2B5EF4-FFF2-40B4-BE49-F238E27FC236}">
              <a16:creationId xmlns:a16="http://schemas.microsoft.com/office/drawing/2014/main" id="{00000000-0008-0000-0300-00002A0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210425" y="11410950"/>
          <a:ext cx="457200" cy="161925"/>
        </a:xfrm>
        <a:prstGeom prst="rect">
          <a:avLst/>
        </a:prstGeom>
        <a:noFill/>
      </xdr:spPr>
    </xdr:pic>
    <xdr:clientData/>
  </xdr:twoCellAnchor>
  <xdr:twoCellAnchor>
    <xdr:from>
      <xdr:col>14</xdr:col>
      <xdr:colOff>123825</xdr:colOff>
      <xdr:row>0</xdr:row>
      <xdr:rowOff>19050</xdr:rowOff>
    </xdr:from>
    <xdr:to>
      <xdr:col>14</xdr:col>
      <xdr:colOff>600075</xdr:colOff>
      <xdr:row>2</xdr:row>
      <xdr:rowOff>57150</xdr:rowOff>
    </xdr:to>
    <xdr:pic>
      <xdr:nvPicPr>
        <xdr:cNvPr id="1067" name="Picture 43" descr="Logo ÖWAV blau neu">
          <a:extLst>
            <a:ext uri="{FF2B5EF4-FFF2-40B4-BE49-F238E27FC236}">
              <a16:creationId xmlns:a16="http://schemas.microsoft.com/office/drawing/2014/main" id="{00000000-0008-0000-0300-00002B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91375" y="19050"/>
          <a:ext cx="476250" cy="438150"/>
        </a:xfrm>
        <a:prstGeom prst="rect">
          <a:avLst/>
        </a:prstGeom>
        <a:noFill/>
      </xdr:spPr>
    </xdr:pic>
    <xdr:clientData/>
  </xdr:twoCellAnchor>
  <xdr:twoCellAnchor>
    <xdr:from>
      <xdr:col>14</xdr:col>
      <xdr:colOff>142875</xdr:colOff>
      <xdr:row>2</xdr:row>
      <xdr:rowOff>85725</xdr:rowOff>
    </xdr:from>
    <xdr:to>
      <xdr:col>14</xdr:col>
      <xdr:colOff>600075</xdr:colOff>
      <xdr:row>2</xdr:row>
      <xdr:rowOff>247650</xdr:rowOff>
    </xdr:to>
    <xdr:pic>
      <xdr:nvPicPr>
        <xdr:cNvPr id="1068" name="Picture 44" descr="Logo VÖB">
          <a:extLst>
            <a:ext uri="{FF2B5EF4-FFF2-40B4-BE49-F238E27FC236}">
              <a16:creationId xmlns:a16="http://schemas.microsoft.com/office/drawing/2014/main" id="{00000000-0008-0000-0300-00002C0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210425" y="485775"/>
          <a:ext cx="457200" cy="1619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142875</xdr:colOff>
      <xdr:row>0</xdr:row>
      <xdr:rowOff>0</xdr:rowOff>
    </xdr:from>
    <xdr:to>
      <xdr:col>14</xdr:col>
      <xdr:colOff>238125</xdr:colOff>
      <xdr:row>2</xdr:row>
      <xdr:rowOff>57150</xdr:rowOff>
    </xdr:to>
    <xdr:pic>
      <xdr:nvPicPr>
        <xdr:cNvPr id="3076" name="Picture 4" descr="Logo ÖWAV blau neu">
          <a:extLst>
            <a:ext uri="{FF2B5EF4-FFF2-40B4-BE49-F238E27FC236}">
              <a16:creationId xmlns:a16="http://schemas.microsoft.com/office/drawing/2014/main" id="{00000000-0008-0000-0400-000004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562600" y="0"/>
          <a:ext cx="476250" cy="438150"/>
        </a:xfrm>
        <a:prstGeom prst="rect">
          <a:avLst/>
        </a:prstGeom>
        <a:noFill/>
      </xdr:spPr>
    </xdr:pic>
    <xdr:clientData/>
  </xdr:twoCellAnchor>
  <xdr:twoCellAnchor>
    <xdr:from>
      <xdr:col>13</xdr:col>
      <xdr:colOff>161925</xdr:colOff>
      <xdr:row>2</xdr:row>
      <xdr:rowOff>85725</xdr:rowOff>
    </xdr:from>
    <xdr:to>
      <xdr:col>14</xdr:col>
      <xdr:colOff>238125</xdr:colOff>
      <xdr:row>2</xdr:row>
      <xdr:rowOff>247650</xdr:rowOff>
    </xdr:to>
    <xdr:pic>
      <xdr:nvPicPr>
        <xdr:cNvPr id="3077" name="Picture 5" descr="Logo VÖB">
          <a:extLst>
            <a:ext uri="{FF2B5EF4-FFF2-40B4-BE49-F238E27FC236}">
              <a16:creationId xmlns:a16="http://schemas.microsoft.com/office/drawing/2014/main" id="{00000000-0008-0000-0400-000005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5581650" y="466725"/>
          <a:ext cx="457200" cy="161925"/>
        </a:xfrm>
        <a:prstGeom prst="rect">
          <a:avLst/>
        </a:prstGeom>
        <a:noFill/>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03"/>
  <sheetViews>
    <sheetView showGridLines="0" zoomScale="75" zoomScaleNormal="75" zoomScaleSheetLayoutView="84" workbookViewId="0">
      <selection activeCell="Q22" sqref="Q22:X26"/>
    </sheetView>
  </sheetViews>
  <sheetFormatPr baseColWidth="10" defaultRowHeight="15" x14ac:dyDescent="0.2"/>
  <cols>
    <col min="1" max="1" width="5.85546875" style="2" customWidth="1"/>
    <col min="2" max="2" width="5.7109375" style="1" bestFit="1" customWidth="1"/>
    <col min="3" max="5" width="11.42578125" style="2"/>
    <col min="6" max="6" width="13.5703125" style="2" customWidth="1"/>
    <col min="7" max="7" width="14.140625" style="3" bestFit="1" customWidth="1"/>
    <col min="8" max="8" width="11.42578125" style="3"/>
    <col min="9" max="9" width="11.42578125" style="2"/>
    <col min="10" max="10" width="5.7109375" style="2" hidden="1" customWidth="1"/>
    <col min="11" max="13" width="5.28515625" style="2" hidden="1" customWidth="1"/>
    <col min="14" max="15" width="6" style="2" hidden="1" customWidth="1"/>
    <col min="16" max="16" width="5.28515625" style="2" customWidth="1"/>
    <col min="17" max="23" width="11.42578125" style="2"/>
    <col min="24" max="24" width="17.7109375" style="2" customWidth="1"/>
    <col min="25" max="16384" width="11.42578125" style="2"/>
  </cols>
  <sheetData>
    <row r="1" spans="1:27" x14ac:dyDescent="0.2">
      <c r="B1" s="270" t="s">
        <v>272</v>
      </c>
      <c r="C1" s="271"/>
      <c r="D1" s="315"/>
      <c r="E1" s="316"/>
      <c r="F1" s="316"/>
      <c r="G1" s="316"/>
      <c r="H1" s="317"/>
      <c r="I1" s="293"/>
      <c r="Q1" s="275" t="s">
        <v>506</v>
      </c>
      <c r="R1" s="276"/>
      <c r="S1" s="276"/>
      <c r="T1" s="276"/>
      <c r="U1" s="276"/>
      <c r="V1" s="276"/>
      <c r="W1" s="276"/>
      <c r="X1" s="277"/>
    </row>
    <row r="2" spans="1:27" ht="15.75" customHeight="1" x14ac:dyDescent="0.2">
      <c r="B2" s="272"/>
      <c r="C2" s="273"/>
      <c r="D2" s="318"/>
      <c r="E2" s="319"/>
      <c r="F2" s="319"/>
      <c r="G2" s="319"/>
      <c r="H2" s="320"/>
      <c r="I2" s="294"/>
      <c r="Q2" s="278"/>
      <c r="R2" s="279"/>
      <c r="S2" s="279"/>
      <c r="T2" s="279"/>
      <c r="U2" s="279"/>
      <c r="V2" s="279"/>
      <c r="W2" s="279"/>
      <c r="X2" s="280"/>
    </row>
    <row r="3" spans="1:27" ht="6" customHeight="1" x14ac:dyDescent="0.2">
      <c r="B3" s="47"/>
      <c r="C3" s="48"/>
      <c r="D3"/>
      <c r="E3"/>
      <c r="F3"/>
      <c r="G3"/>
      <c r="H3"/>
      <c r="I3" s="295"/>
      <c r="Q3" s="278"/>
      <c r="R3" s="279"/>
      <c r="S3" s="279"/>
      <c r="T3" s="279"/>
      <c r="U3" s="279"/>
      <c r="V3" s="279"/>
      <c r="W3" s="279"/>
      <c r="X3" s="280"/>
    </row>
    <row r="4" spans="1:27" ht="19.5" x14ac:dyDescent="0.25">
      <c r="A4" s="36"/>
      <c r="B4" s="49" t="s">
        <v>1</v>
      </c>
      <c r="C4" s="321" t="s">
        <v>0</v>
      </c>
      <c r="D4" s="321"/>
      <c r="E4" s="321"/>
      <c r="F4" s="321"/>
      <c r="G4" s="50"/>
      <c r="H4" s="50"/>
      <c r="I4" s="296"/>
      <c r="J4"/>
      <c r="K4"/>
      <c r="L4"/>
      <c r="M4"/>
      <c r="N4"/>
      <c r="O4"/>
      <c r="P4"/>
      <c r="Q4" s="278"/>
      <c r="R4" s="279"/>
      <c r="S4" s="279"/>
      <c r="T4" s="279"/>
      <c r="U4" s="279"/>
      <c r="V4" s="279"/>
      <c r="W4" s="279"/>
      <c r="X4" s="280"/>
    </row>
    <row r="5" spans="1:27" ht="6" customHeight="1" x14ac:dyDescent="0.2">
      <c r="A5" s="36"/>
      <c r="B5" s="49"/>
      <c r="C5" s="51"/>
      <c r="D5" s="51"/>
      <c r="E5" s="51"/>
      <c r="F5" s="51"/>
      <c r="G5" s="50"/>
      <c r="H5" s="50"/>
      <c r="I5" s="53"/>
      <c r="J5"/>
      <c r="K5"/>
      <c r="L5"/>
      <c r="M5"/>
      <c r="N5"/>
      <c r="O5"/>
      <c r="P5"/>
      <c r="Q5" s="281"/>
      <c r="R5" s="282"/>
      <c r="S5" s="282"/>
      <c r="T5" s="282"/>
      <c r="U5" s="282"/>
      <c r="V5" s="282"/>
      <c r="W5" s="282"/>
      <c r="X5" s="283"/>
    </row>
    <row r="6" spans="1:27" ht="20.25" customHeight="1" x14ac:dyDescent="0.2">
      <c r="A6" s="36"/>
      <c r="B6" s="49" t="s">
        <v>2</v>
      </c>
      <c r="C6" s="262" t="s">
        <v>91</v>
      </c>
      <c r="D6" s="262"/>
      <c r="E6" s="262"/>
      <c r="F6" s="262"/>
      <c r="G6" s="262"/>
      <c r="H6" s="262"/>
      <c r="I6" s="263"/>
      <c r="J6"/>
      <c r="K6"/>
      <c r="L6"/>
      <c r="M6"/>
      <c r="N6"/>
      <c r="O6"/>
      <c r="P6"/>
      <c r="Q6" s="246"/>
      <c r="R6" s="246"/>
      <c r="S6" s="48"/>
      <c r="T6" s="48"/>
      <c r="U6" s="48"/>
      <c r="V6" s="48"/>
      <c r="W6" s="48"/>
      <c r="X6" s="48"/>
    </row>
    <row r="7" spans="1:27" ht="6" customHeight="1" x14ac:dyDescent="0.2">
      <c r="A7" s="36"/>
      <c r="B7" s="244"/>
      <c r="C7" s="245"/>
      <c r="D7" s="245"/>
      <c r="E7" s="245"/>
      <c r="F7" s="245"/>
      <c r="G7" s="245"/>
      <c r="H7" s="245"/>
      <c r="I7" s="247"/>
      <c r="J7"/>
      <c r="K7"/>
      <c r="L7"/>
      <c r="M7"/>
      <c r="N7"/>
      <c r="O7"/>
      <c r="P7"/>
      <c r="Q7" s="246"/>
      <c r="R7" s="246"/>
      <c r="S7" s="48"/>
      <c r="T7" s="48"/>
      <c r="U7" s="48"/>
      <c r="V7" s="48"/>
      <c r="W7" s="48"/>
      <c r="X7" s="48"/>
    </row>
    <row r="8" spans="1:27" ht="15" customHeight="1" x14ac:dyDescent="0.2">
      <c r="A8" s="36"/>
      <c r="B8" s="49"/>
      <c r="C8" s="262" t="s">
        <v>321</v>
      </c>
      <c r="D8" s="262"/>
      <c r="E8" s="262"/>
      <c r="F8" s="51"/>
      <c r="G8" s="51"/>
      <c r="H8" s="141"/>
      <c r="I8" s="54" t="s">
        <v>3</v>
      </c>
      <c r="J8"/>
      <c r="K8">
        <f>IF(H8&gt;1,100,0)</f>
        <v>0</v>
      </c>
      <c r="L8">
        <f>IF(H8*H19/10000&lt;10,K8,200)</f>
        <v>0</v>
      </c>
      <c r="M8"/>
      <c r="N8"/>
      <c r="O8"/>
      <c r="P8"/>
      <c r="Q8" s="284" t="s">
        <v>507</v>
      </c>
      <c r="R8" s="285"/>
      <c r="S8" s="285"/>
      <c r="T8" s="285"/>
      <c r="U8" s="285"/>
      <c r="V8" s="285"/>
      <c r="W8" s="285"/>
      <c r="X8" s="286"/>
    </row>
    <row r="9" spans="1:27" ht="20.100000000000001" customHeight="1" x14ac:dyDescent="0.2">
      <c r="A9" s="36"/>
      <c r="B9" s="49"/>
      <c r="C9" s="51"/>
      <c r="D9" s="274" t="s">
        <v>520</v>
      </c>
      <c r="E9" s="274"/>
      <c r="F9" s="274"/>
      <c r="G9" s="274"/>
      <c r="H9" s="274"/>
      <c r="I9" s="53"/>
      <c r="J9"/>
      <c r="K9"/>
      <c r="L9"/>
      <c r="M9"/>
      <c r="N9"/>
      <c r="O9"/>
      <c r="P9"/>
      <c r="Q9" s="287"/>
      <c r="R9" s="288"/>
      <c r="S9" s="288"/>
      <c r="T9" s="288"/>
      <c r="U9" s="288"/>
      <c r="V9" s="288"/>
      <c r="W9" s="288"/>
      <c r="X9" s="289"/>
    </row>
    <row r="10" spans="1:27" ht="20.100000000000001" customHeight="1" x14ac:dyDescent="0.2">
      <c r="A10" s="36"/>
      <c r="B10" s="49"/>
      <c r="C10" s="51"/>
      <c r="D10" s="274"/>
      <c r="E10" s="274"/>
      <c r="F10" s="274"/>
      <c r="G10" s="274"/>
      <c r="H10" s="274"/>
      <c r="I10" s="53"/>
      <c r="J10"/>
      <c r="K10"/>
      <c r="L10"/>
      <c r="M10"/>
      <c r="N10"/>
      <c r="O10"/>
      <c r="P10"/>
      <c r="Q10" s="290"/>
      <c r="R10" s="291"/>
      <c r="S10" s="291"/>
      <c r="T10" s="291"/>
      <c r="U10" s="291"/>
      <c r="V10" s="291"/>
      <c r="W10" s="291"/>
      <c r="X10" s="292"/>
    </row>
    <row r="11" spans="1:27" ht="5.0999999999999996" customHeight="1" x14ac:dyDescent="0.2">
      <c r="A11" s="36"/>
      <c r="B11" s="244"/>
      <c r="C11" s="245"/>
      <c r="D11" s="245"/>
      <c r="E11" s="245"/>
      <c r="F11" s="245"/>
      <c r="G11" s="245"/>
      <c r="H11" s="245"/>
      <c r="I11" s="247"/>
      <c r="J11"/>
      <c r="K11"/>
      <c r="L11"/>
      <c r="M11"/>
      <c r="N11"/>
      <c r="O11"/>
      <c r="P11"/>
      <c r="Q11" s="196"/>
      <c r="R11" s="196"/>
      <c r="S11" s="196"/>
      <c r="T11" s="196"/>
      <c r="U11" s="196"/>
      <c r="V11" s="196"/>
      <c r="W11" s="196"/>
      <c r="X11" s="196"/>
    </row>
    <row r="12" spans="1:27" ht="15" customHeight="1" x14ac:dyDescent="0.25">
      <c r="A12" s="36"/>
      <c r="B12" s="49"/>
      <c r="C12" s="262" t="s">
        <v>322</v>
      </c>
      <c r="D12" s="262"/>
      <c r="E12" s="262"/>
      <c r="F12" s="51"/>
      <c r="G12" s="51"/>
      <c r="H12" s="141"/>
      <c r="I12" s="54" t="s">
        <v>3</v>
      </c>
      <c r="J12"/>
      <c r="L12">
        <f>IF(H12&gt;1,200,0)</f>
        <v>0</v>
      </c>
      <c r="M12"/>
      <c r="N12"/>
      <c r="O12"/>
      <c r="P12"/>
      <c r="Q12" s="250" t="s">
        <v>508</v>
      </c>
      <c r="R12" s="251"/>
      <c r="S12" s="251"/>
      <c r="T12" s="251"/>
      <c r="U12" s="251"/>
      <c r="V12" s="251"/>
      <c r="W12" s="251"/>
      <c r="X12" s="252"/>
      <c r="AA12" s="129"/>
    </row>
    <row r="13" spans="1:27" ht="30" customHeight="1" x14ac:dyDescent="0.2">
      <c r="A13" s="36"/>
      <c r="B13" s="244"/>
      <c r="C13" s="245"/>
      <c r="D13" s="274" t="s">
        <v>90</v>
      </c>
      <c r="E13" s="274"/>
      <c r="F13" s="274"/>
      <c r="G13" s="274"/>
      <c r="H13" s="248"/>
      <c r="I13" s="249"/>
      <c r="J13"/>
      <c r="K13"/>
      <c r="L13"/>
      <c r="M13"/>
      <c r="N13"/>
      <c r="O13"/>
      <c r="P13"/>
      <c r="Q13" s="256"/>
      <c r="R13" s="257"/>
      <c r="S13" s="257"/>
      <c r="T13" s="257"/>
      <c r="U13" s="257"/>
      <c r="V13" s="257"/>
      <c r="W13" s="257"/>
      <c r="X13" s="258"/>
    </row>
    <row r="14" spans="1:27" ht="5.0999999999999996" customHeight="1" x14ac:dyDescent="0.2">
      <c r="A14" s="36"/>
      <c r="B14" s="244"/>
      <c r="C14" s="245"/>
      <c r="D14" s="245"/>
      <c r="E14" s="245"/>
      <c r="F14" s="245"/>
      <c r="G14" s="245"/>
      <c r="H14" s="248"/>
      <c r="I14" s="249"/>
      <c r="J14"/>
      <c r="K14"/>
      <c r="L14"/>
      <c r="M14"/>
      <c r="N14"/>
      <c r="O14"/>
      <c r="P14"/>
      <c r="Q14" s="189"/>
      <c r="R14" s="189"/>
      <c r="S14" s="189"/>
      <c r="T14" s="189"/>
      <c r="U14" s="189"/>
      <c r="V14" s="189"/>
      <c r="W14" s="189"/>
      <c r="X14" s="189"/>
    </row>
    <row r="15" spans="1:27" ht="5.0999999999999996" customHeight="1" x14ac:dyDescent="0.2">
      <c r="A15" s="36"/>
      <c r="B15" s="244"/>
      <c r="C15" s="245"/>
      <c r="D15" s="245"/>
      <c r="E15" s="245"/>
      <c r="F15" s="245"/>
      <c r="G15" s="245"/>
      <c r="H15" s="50"/>
      <c r="I15" s="53"/>
      <c r="J15"/>
      <c r="K15"/>
      <c r="L15"/>
      <c r="M15"/>
      <c r="N15"/>
      <c r="O15"/>
      <c r="P15"/>
      <c r="Q15" s="250" t="s">
        <v>509</v>
      </c>
      <c r="R15" s="251"/>
      <c r="S15" s="251"/>
      <c r="T15" s="251"/>
      <c r="U15" s="251"/>
      <c r="V15" s="251"/>
      <c r="W15" s="251"/>
      <c r="X15" s="252"/>
    </row>
    <row r="16" spans="1:27" ht="15" customHeight="1" x14ac:dyDescent="0.2">
      <c r="A16" s="36"/>
      <c r="B16" s="49"/>
      <c r="C16" s="262" t="s">
        <v>421</v>
      </c>
      <c r="D16" s="262"/>
      <c r="E16" s="262"/>
      <c r="F16" s="262"/>
      <c r="G16" s="51"/>
      <c r="H16" s="141"/>
      <c r="I16" s="54" t="s">
        <v>3</v>
      </c>
      <c r="J16"/>
      <c r="K16"/>
      <c r="L16">
        <f>IF(H16&gt;1,100,0)</f>
        <v>0</v>
      </c>
      <c r="M16"/>
      <c r="N16"/>
      <c r="O16"/>
      <c r="P16"/>
      <c r="Q16" s="253"/>
      <c r="R16" s="254"/>
      <c r="S16" s="254"/>
      <c r="T16" s="254"/>
      <c r="U16" s="254"/>
      <c r="V16" s="254"/>
      <c r="W16" s="254"/>
      <c r="X16" s="255"/>
    </row>
    <row r="17" spans="1:34" ht="30" customHeight="1" x14ac:dyDescent="0.2">
      <c r="A17" s="36"/>
      <c r="B17" s="49"/>
      <c r="C17" s="51"/>
      <c r="D17" s="274" t="s">
        <v>422</v>
      </c>
      <c r="E17" s="274"/>
      <c r="F17" s="274"/>
      <c r="G17" s="274"/>
      <c r="H17" s="248"/>
      <c r="I17" s="249"/>
      <c r="J17"/>
      <c r="K17"/>
      <c r="L17"/>
      <c r="M17"/>
      <c r="N17"/>
      <c r="O17"/>
      <c r="P17"/>
      <c r="Q17" s="256"/>
      <c r="R17" s="257"/>
      <c r="S17" s="257"/>
      <c r="T17" s="257"/>
      <c r="U17" s="257"/>
      <c r="V17" s="257"/>
      <c r="W17" s="257"/>
      <c r="X17" s="258"/>
    </row>
    <row r="18" spans="1:34" ht="5.0999999999999996" customHeight="1" x14ac:dyDescent="0.2">
      <c r="A18" s="36"/>
      <c r="B18" s="49"/>
      <c r="C18" s="51"/>
      <c r="D18" s="188"/>
      <c r="E18" s="188"/>
      <c r="F18" s="188"/>
      <c r="G18" s="188"/>
      <c r="H18" s="50"/>
      <c r="I18" s="53"/>
      <c r="J18"/>
      <c r="K18"/>
      <c r="L18"/>
      <c r="M18"/>
      <c r="N18"/>
      <c r="O18"/>
      <c r="P18"/>
      <c r="R18" s="201"/>
      <c r="S18" s="201"/>
      <c r="T18" s="201"/>
      <c r="U18" s="201"/>
      <c r="V18" s="201"/>
      <c r="W18" s="201"/>
      <c r="X18" s="201"/>
    </row>
    <row r="19" spans="1:34" ht="15" customHeight="1" x14ac:dyDescent="0.3">
      <c r="A19" s="36"/>
      <c r="B19" s="49"/>
      <c r="C19" s="262" t="s">
        <v>4</v>
      </c>
      <c r="D19" s="262"/>
      <c r="E19" s="262"/>
      <c r="F19" s="51"/>
      <c r="G19" s="51"/>
      <c r="H19" s="141"/>
      <c r="I19" s="54" t="s">
        <v>5</v>
      </c>
      <c r="J19"/>
      <c r="K19"/>
      <c r="L19">
        <f>IF(H19&gt;1,100,0)</f>
        <v>0</v>
      </c>
      <c r="M19"/>
      <c r="N19"/>
      <c r="O19"/>
      <c r="P19"/>
      <c r="Q19" s="250" t="s">
        <v>510</v>
      </c>
      <c r="R19" s="251"/>
      <c r="S19" s="251"/>
      <c r="T19" s="251"/>
      <c r="U19" s="251"/>
      <c r="V19" s="251"/>
      <c r="W19" s="251"/>
      <c r="X19" s="252"/>
      <c r="Z19" s="126"/>
    </row>
    <row r="20" spans="1:34" ht="45" customHeight="1" x14ac:dyDescent="0.2">
      <c r="A20" s="36"/>
      <c r="B20" s="49"/>
      <c r="C20" s="51"/>
      <c r="D20" s="274" t="s">
        <v>323</v>
      </c>
      <c r="E20" s="274"/>
      <c r="F20" s="274"/>
      <c r="G20" s="274"/>
      <c r="H20" s="50"/>
      <c r="I20" s="53"/>
      <c r="J20"/>
      <c r="K20"/>
      <c r="L20"/>
      <c r="M20"/>
      <c r="N20"/>
      <c r="O20"/>
      <c r="P20"/>
      <c r="Q20" s="256"/>
      <c r="R20" s="257"/>
      <c r="S20" s="257"/>
      <c r="T20" s="257"/>
      <c r="U20" s="257"/>
      <c r="V20" s="257"/>
      <c r="W20" s="257"/>
      <c r="X20" s="258"/>
    </row>
    <row r="21" spans="1:34" ht="5.0999999999999996" customHeight="1" x14ac:dyDescent="0.2">
      <c r="A21" s="36"/>
      <c r="B21" s="244"/>
      <c r="C21" s="245"/>
      <c r="D21" s="245"/>
      <c r="E21" s="245"/>
      <c r="F21" s="245"/>
      <c r="G21" s="245"/>
      <c r="H21" s="245"/>
      <c r="I21" s="247"/>
      <c r="J21"/>
      <c r="K21"/>
      <c r="L21"/>
      <c r="M21"/>
      <c r="N21"/>
      <c r="O21"/>
      <c r="P21"/>
    </row>
    <row r="22" spans="1:34" ht="16.5" customHeight="1" x14ac:dyDescent="0.2">
      <c r="A22" s="36"/>
      <c r="B22" s="49"/>
      <c r="C22" s="262" t="s">
        <v>6</v>
      </c>
      <c r="D22" s="262"/>
      <c r="E22" s="262"/>
      <c r="F22" s="262"/>
      <c r="G22" s="262"/>
      <c r="H22" s="141"/>
      <c r="I22" s="54" t="s">
        <v>23</v>
      </c>
      <c r="J22"/>
      <c r="K22"/>
      <c r="L22"/>
      <c r="M22"/>
      <c r="N22"/>
      <c r="O22"/>
      <c r="P22"/>
      <c r="Q22" s="250" t="s">
        <v>511</v>
      </c>
      <c r="R22" s="251"/>
      <c r="S22" s="251"/>
      <c r="T22" s="251"/>
      <c r="U22" s="251"/>
      <c r="V22" s="251"/>
      <c r="W22" s="251"/>
      <c r="X22" s="252"/>
    </row>
    <row r="23" spans="1:34" ht="15" customHeight="1" x14ac:dyDescent="0.2">
      <c r="A23" s="36"/>
      <c r="B23" s="49"/>
      <c r="C23" s="51"/>
      <c r="D23" s="55" t="s">
        <v>100</v>
      </c>
      <c r="E23" s="51"/>
      <c r="F23" s="56" t="s">
        <v>7</v>
      </c>
      <c r="G23" s="56" t="s">
        <v>20</v>
      </c>
      <c r="H23" s="248"/>
      <c r="I23" s="249"/>
      <c r="J23"/>
      <c r="K23"/>
      <c r="L23"/>
      <c r="M23"/>
      <c r="N23"/>
      <c r="O23"/>
      <c r="P23"/>
      <c r="Q23" s="253"/>
      <c r="R23" s="254"/>
      <c r="S23" s="254"/>
      <c r="T23" s="254"/>
      <c r="U23" s="254"/>
      <c r="V23" s="254"/>
      <c r="W23" s="254"/>
      <c r="X23" s="255"/>
      <c r="AA23" s="322"/>
      <c r="AB23" s="322"/>
      <c r="AC23" s="322"/>
      <c r="AD23" s="322"/>
      <c r="AE23" s="322"/>
      <c r="AF23" s="322"/>
      <c r="AG23" s="322"/>
      <c r="AH23" s="322"/>
    </row>
    <row r="24" spans="1:34" ht="15" customHeight="1" x14ac:dyDescent="0.2">
      <c r="A24" s="36"/>
      <c r="B24" s="49"/>
      <c r="C24" s="51"/>
      <c r="D24" s="55"/>
      <c r="E24" s="51"/>
      <c r="F24" s="221" t="s">
        <v>7</v>
      </c>
      <c r="G24" s="221" t="s">
        <v>494</v>
      </c>
      <c r="H24" s="248"/>
      <c r="I24" s="249"/>
      <c r="J24"/>
      <c r="K24"/>
      <c r="L24"/>
      <c r="M24"/>
      <c r="N24"/>
      <c r="O24"/>
      <c r="P24"/>
      <c r="Q24" s="253"/>
      <c r="R24" s="254"/>
      <c r="S24" s="254"/>
      <c r="T24" s="254"/>
      <c r="U24" s="254"/>
      <c r="V24" s="254"/>
      <c r="W24" s="254"/>
      <c r="X24" s="255"/>
      <c r="AA24" s="322"/>
      <c r="AB24" s="322"/>
      <c r="AC24" s="322"/>
      <c r="AD24" s="322"/>
      <c r="AE24" s="322"/>
      <c r="AF24" s="322"/>
      <c r="AG24" s="322"/>
      <c r="AH24" s="322"/>
    </row>
    <row r="25" spans="1:34" ht="15" customHeight="1" x14ac:dyDescent="0.2">
      <c r="A25" s="36"/>
      <c r="B25" s="49"/>
      <c r="C25" s="51"/>
      <c r="D25" s="51"/>
      <c r="E25" s="51"/>
      <c r="F25" s="56" t="s">
        <v>7</v>
      </c>
      <c r="G25" s="56" t="s">
        <v>21</v>
      </c>
      <c r="H25" s="248"/>
      <c r="I25" s="249"/>
      <c r="J25"/>
      <c r="K25"/>
      <c r="L25"/>
      <c r="M25"/>
      <c r="N25"/>
      <c r="O25"/>
      <c r="P25"/>
      <c r="Q25" s="253"/>
      <c r="R25" s="254"/>
      <c r="S25" s="254"/>
      <c r="T25" s="254"/>
      <c r="U25" s="254"/>
      <c r="V25" s="254"/>
      <c r="W25" s="254"/>
      <c r="X25" s="255"/>
      <c r="AA25" s="322"/>
      <c r="AB25" s="322"/>
      <c r="AC25" s="322"/>
      <c r="AD25" s="322"/>
      <c r="AE25" s="322"/>
      <c r="AF25" s="322"/>
      <c r="AG25" s="322"/>
      <c r="AH25" s="322"/>
    </row>
    <row r="26" spans="1:34" ht="15" customHeight="1" x14ac:dyDescent="0.2">
      <c r="A26" s="36"/>
      <c r="B26" s="49"/>
      <c r="C26" s="51"/>
      <c r="D26" s="51"/>
      <c r="E26" s="51"/>
      <c r="F26" s="56" t="s">
        <v>7</v>
      </c>
      <c r="G26" s="56" t="s">
        <v>22</v>
      </c>
      <c r="H26" s="248"/>
      <c r="I26" s="249"/>
      <c r="J26"/>
      <c r="K26"/>
      <c r="L26"/>
      <c r="M26"/>
      <c r="N26"/>
      <c r="O26"/>
      <c r="P26"/>
      <c r="Q26" s="256"/>
      <c r="R26" s="257"/>
      <c r="S26" s="257"/>
      <c r="T26" s="257"/>
      <c r="U26" s="257"/>
      <c r="V26" s="257"/>
      <c r="W26" s="257"/>
      <c r="X26" s="258"/>
      <c r="AA26" s="322"/>
      <c r="AB26" s="322"/>
      <c r="AC26" s="322"/>
      <c r="AD26" s="322"/>
      <c r="AE26" s="322"/>
      <c r="AF26" s="322"/>
      <c r="AG26" s="322"/>
      <c r="AH26" s="322"/>
    </row>
    <row r="27" spans="1:34" ht="5.0999999999999996" customHeight="1" x14ac:dyDescent="0.2">
      <c r="A27" s="36"/>
      <c r="B27" s="244"/>
      <c r="C27" s="245"/>
      <c r="D27" s="245"/>
      <c r="E27" s="245"/>
      <c r="F27" s="245"/>
      <c r="G27" s="245"/>
      <c r="H27" s="245"/>
      <c r="I27" s="247"/>
      <c r="J27"/>
      <c r="K27"/>
      <c r="L27"/>
      <c r="M27"/>
      <c r="N27"/>
      <c r="O27"/>
      <c r="P27"/>
      <c r="Q27" s="222"/>
      <c r="R27" s="222"/>
      <c r="S27" s="222"/>
      <c r="T27" s="222"/>
      <c r="U27" s="222"/>
      <c r="V27" s="222"/>
      <c r="W27" s="222"/>
      <c r="X27" s="222"/>
      <c r="AA27" s="322"/>
      <c r="AB27" s="322"/>
      <c r="AC27" s="322"/>
      <c r="AD27" s="322"/>
      <c r="AE27" s="322"/>
      <c r="AF27" s="322"/>
      <c r="AG27" s="322"/>
      <c r="AH27" s="322"/>
    </row>
    <row r="28" spans="1:34" ht="15" customHeight="1" x14ac:dyDescent="0.2">
      <c r="A28" s="36"/>
      <c r="B28" s="244"/>
      <c r="C28" s="245"/>
      <c r="D28" s="245"/>
      <c r="E28" s="245"/>
      <c r="F28" s="245"/>
      <c r="G28" s="245"/>
      <c r="H28" s="245"/>
      <c r="I28" s="247"/>
      <c r="J28"/>
      <c r="K28"/>
      <c r="L28"/>
      <c r="M28"/>
      <c r="N28"/>
      <c r="O28"/>
      <c r="P28"/>
      <c r="Q28" s="306" t="s">
        <v>540</v>
      </c>
      <c r="R28" s="307"/>
      <c r="S28" s="307"/>
      <c r="T28" s="307"/>
      <c r="U28" s="307"/>
      <c r="V28" s="307"/>
      <c r="W28" s="307"/>
      <c r="X28" s="308"/>
      <c r="AA28" s="322"/>
      <c r="AB28" s="322"/>
      <c r="AC28" s="322"/>
      <c r="AD28" s="322"/>
      <c r="AE28" s="322"/>
      <c r="AF28" s="322"/>
      <c r="AG28" s="322"/>
      <c r="AH28" s="322"/>
    </row>
    <row r="29" spans="1:34" ht="18" x14ac:dyDescent="0.2">
      <c r="A29" s="36"/>
      <c r="B29" s="49"/>
      <c r="C29" s="259" t="s">
        <v>538</v>
      </c>
      <c r="D29" s="259"/>
      <c r="E29" s="259"/>
      <c r="F29" s="259"/>
      <c r="G29" s="259"/>
      <c r="H29" s="209"/>
      <c r="I29" s="220" t="s">
        <v>539</v>
      </c>
      <c r="J29"/>
      <c r="K29" s="124"/>
      <c r="L29" s="124">
        <f>IF(H29&gt;0.9,400,0)</f>
        <v>0</v>
      </c>
      <c r="M29" s="124"/>
      <c r="N29" s="124">
        <v>2500</v>
      </c>
      <c r="O29" s="124">
        <f>IF(H29&gt;0.9,2500,N29)</f>
        <v>2500</v>
      </c>
      <c r="P29"/>
      <c r="Q29" s="309"/>
      <c r="R29" s="310"/>
      <c r="S29" s="310"/>
      <c r="T29" s="310"/>
      <c r="U29" s="310"/>
      <c r="V29" s="310"/>
      <c r="W29" s="310"/>
      <c r="X29" s="311"/>
      <c r="AA29" s="322"/>
      <c r="AB29" s="322"/>
      <c r="AC29" s="322"/>
      <c r="AD29" s="322"/>
      <c r="AE29" s="322"/>
      <c r="AF29" s="322"/>
      <c r="AG29" s="322"/>
      <c r="AH29" s="322"/>
    </row>
    <row r="30" spans="1:34" ht="15" customHeight="1" x14ac:dyDescent="0.2">
      <c r="A30" s="36"/>
      <c r="B30" s="244"/>
      <c r="C30" s="245"/>
      <c r="D30" s="245"/>
      <c r="E30" s="245"/>
      <c r="F30" s="245"/>
      <c r="G30" s="245"/>
      <c r="H30" s="245"/>
      <c r="I30" s="247"/>
      <c r="J30"/>
      <c r="K30"/>
      <c r="L30"/>
      <c r="M30"/>
      <c r="N30"/>
      <c r="O30"/>
      <c r="P30"/>
      <c r="Q30" s="309"/>
      <c r="R30" s="310"/>
      <c r="S30" s="310"/>
      <c r="T30" s="310"/>
      <c r="U30" s="310"/>
      <c r="V30" s="310"/>
      <c r="W30" s="310"/>
      <c r="X30" s="311"/>
      <c r="AA30" s="322"/>
      <c r="AB30" s="322"/>
      <c r="AC30" s="322"/>
      <c r="AD30" s="322"/>
      <c r="AE30" s="322"/>
      <c r="AF30" s="322"/>
      <c r="AG30" s="322"/>
      <c r="AH30" s="322"/>
    </row>
    <row r="31" spans="1:34" ht="20.25" customHeight="1" x14ac:dyDescent="0.2">
      <c r="A31" s="36"/>
      <c r="B31" s="49" t="s">
        <v>8</v>
      </c>
      <c r="C31" s="262" t="s">
        <v>92</v>
      </c>
      <c r="D31" s="262"/>
      <c r="E31" s="262"/>
      <c r="F31" s="262"/>
      <c r="G31" s="262"/>
      <c r="H31" s="262"/>
      <c r="I31" s="263"/>
      <c r="J31"/>
      <c r="K31"/>
      <c r="L31"/>
      <c r="M31"/>
      <c r="N31"/>
      <c r="O31"/>
      <c r="P31"/>
      <c r="Q31" s="312"/>
      <c r="R31" s="313"/>
      <c r="S31" s="313"/>
      <c r="T31" s="313"/>
      <c r="U31" s="313"/>
      <c r="V31" s="313"/>
      <c r="W31" s="313"/>
      <c r="X31" s="314"/>
      <c r="AA31" s="322"/>
      <c r="AB31" s="322"/>
      <c r="AC31" s="322"/>
      <c r="AD31" s="322"/>
      <c r="AE31" s="322"/>
      <c r="AF31" s="322"/>
      <c r="AG31" s="322"/>
      <c r="AH31" s="322"/>
    </row>
    <row r="32" spans="1:34" ht="45" customHeight="1" x14ac:dyDescent="0.2">
      <c r="A32" s="36"/>
      <c r="B32" s="49"/>
      <c r="C32" s="57"/>
      <c r="D32" s="261" t="s">
        <v>9</v>
      </c>
      <c r="E32" s="261"/>
      <c r="F32" s="261"/>
      <c r="G32" s="58"/>
      <c r="H32" s="50"/>
      <c r="I32" s="53"/>
      <c r="J32"/>
      <c r="K32"/>
      <c r="L32"/>
      <c r="M32"/>
      <c r="N32"/>
      <c r="O32"/>
      <c r="P32"/>
    </row>
    <row r="33" spans="1:24" ht="5.0999999999999996" customHeight="1" x14ac:dyDescent="0.2">
      <c r="A33" s="36"/>
      <c r="B33" s="49"/>
      <c r="C33" s="57"/>
      <c r="D33" s="190"/>
      <c r="E33" s="190"/>
      <c r="F33" s="190"/>
      <c r="G33" s="58"/>
      <c r="H33" s="50"/>
      <c r="I33" s="53"/>
      <c r="J33"/>
      <c r="K33"/>
      <c r="L33"/>
      <c r="M33"/>
      <c r="N33"/>
      <c r="O33"/>
      <c r="P33"/>
      <c r="Q33" s="189"/>
      <c r="R33" s="189"/>
      <c r="S33" s="189"/>
      <c r="T33" s="189"/>
      <c r="U33" s="189"/>
      <c r="V33" s="189"/>
      <c r="W33" s="189"/>
      <c r="X33" s="189"/>
    </row>
    <row r="34" spans="1:24" ht="15" customHeight="1" x14ac:dyDescent="0.2">
      <c r="A34" s="36"/>
      <c r="B34" s="49"/>
      <c r="C34" s="262" t="s">
        <v>6</v>
      </c>
      <c r="D34" s="262"/>
      <c r="E34" s="262"/>
      <c r="F34" s="262"/>
      <c r="G34" s="262"/>
      <c r="H34" s="141"/>
      <c r="I34" s="54" t="s">
        <v>23</v>
      </c>
      <c r="J34"/>
      <c r="K34"/>
      <c r="L34"/>
      <c r="M34"/>
      <c r="N34"/>
      <c r="O34"/>
      <c r="P34"/>
    </row>
    <row r="35" spans="1:24" ht="15" customHeight="1" x14ac:dyDescent="0.2">
      <c r="A35" s="36"/>
      <c r="B35" s="49"/>
      <c r="C35" s="51"/>
      <c r="D35" s="55" t="s">
        <v>100</v>
      </c>
      <c r="E35" s="51"/>
      <c r="F35" s="56" t="s">
        <v>7</v>
      </c>
      <c r="G35" s="56" t="s">
        <v>20</v>
      </c>
      <c r="H35" s="248"/>
      <c r="I35" s="249"/>
      <c r="J35"/>
      <c r="K35"/>
      <c r="L35"/>
      <c r="M35"/>
      <c r="N35"/>
      <c r="O35"/>
      <c r="P35"/>
      <c r="Q35" s="250" t="s">
        <v>514</v>
      </c>
      <c r="R35" s="251"/>
      <c r="S35" s="251"/>
      <c r="T35" s="251"/>
      <c r="U35" s="251"/>
      <c r="V35" s="251"/>
      <c r="W35" s="251"/>
      <c r="X35" s="252"/>
    </row>
    <row r="36" spans="1:24" x14ac:dyDescent="0.2">
      <c r="A36" s="36"/>
      <c r="B36" s="49"/>
      <c r="C36" s="51"/>
      <c r="D36" s="51"/>
      <c r="E36" s="51"/>
      <c r="F36" s="56" t="s">
        <v>7</v>
      </c>
      <c r="G36" s="56" t="s">
        <v>21</v>
      </c>
      <c r="H36" s="248"/>
      <c r="I36" s="249"/>
      <c r="J36"/>
      <c r="K36"/>
      <c r="L36"/>
      <c r="M36"/>
      <c r="N36"/>
      <c r="O36"/>
      <c r="P36"/>
      <c r="Q36" s="253"/>
      <c r="R36" s="254"/>
      <c r="S36" s="254"/>
      <c r="T36" s="254"/>
      <c r="U36" s="254"/>
      <c r="V36" s="254"/>
      <c r="W36" s="254"/>
      <c r="X36" s="255"/>
    </row>
    <row r="37" spans="1:24" ht="18" customHeight="1" x14ac:dyDescent="0.2">
      <c r="A37" s="36"/>
      <c r="B37" s="49"/>
      <c r="C37" s="51"/>
      <c r="D37" s="51"/>
      <c r="E37" s="51"/>
      <c r="F37" s="56" t="s">
        <v>7</v>
      </c>
      <c r="G37" s="56" t="s">
        <v>22</v>
      </c>
      <c r="H37" s="248"/>
      <c r="I37" s="249"/>
      <c r="J37"/>
      <c r="K37"/>
      <c r="L37"/>
      <c r="M37"/>
      <c r="N37"/>
      <c r="O37"/>
      <c r="P37"/>
      <c r="Q37" s="253"/>
      <c r="R37" s="254"/>
      <c r="S37" s="254"/>
      <c r="T37" s="254"/>
      <c r="U37" s="254"/>
      <c r="V37" s="254"/>
      <c r="W37" s="254"/>
      <c r="X37" s="255"/>
    </row>
    <row r="38" spans="1:24" ht="15" customHeight="1" x14ac:dyDescent="0.2">
      <c r="A38" s="36"/>
      <c r="B38" s="244"/>
      <c r="C38" s="245"/>
      <c r="D38" s="245"/>
      <c r="E38" s="245"/>
      <c r="F38" s="245"/>
      <c r="G38" s="245"/>
      <c r="H38" s="248"/>
      <c r="I38" s="249"/>
      <c r="J38"/>
      <c r="K38"/>
      <c r="L38"/>
      <c r="M38"/>
      <c r="N38"/>
      <c r="O38"/>
      <c r="P38"/>
      <c r="Q38" s="256"/>
      <c r="R38" s="257"/>
      <c r="S38" s="257"/>
      <c r="T38" s="257"/>
      <c r="U38" s="257"/>
      <c r="V38" s="257"/>
      <c r="W38" s="257"/>
      <c r="X38" s="258"/>
    </row>
    <row r="39" spans="1:24" ht="5.0999999999999996" customHeight="1" x14ac:dyDescent="0.2">
      <c r="A39" s="36"/>
      <c r="B39" s="244"/>
      <c r="C39" s="245"/>
      <c r="D39" s="245"/>
      <c r="E39" s="245"/>
      <c r="F39" s="245"/>
      <c r="G39" s="245"/>
      <c r="H39" s="248"/>
      <c r="I39" s="249"/>
      <c r="J39"/>
      <c r="K39"/>
      <c r="L39"/>
      <c r="M39"/>
      <c r="N39"/>
      <c r="O39"/>
      <c r="P39"/>
      <c r="Q39" s="189"/>
      <c r="R39" s="189"/>
      <c r="S39" s="189"/>
      <c r="T39" s="189"/>
      <c r="U39" s="189"/>
      <c r="V39" s="189"/>
      <c r="W39" s="189"/>
      <c r="X39" s="189"/>
    </row>
    <row r="40" spans="1:24" ht="15" customHeight="1" x14ac:dyDescent="0.2">
      <c r="A40" s="36"/>
      <c r="B40" s="49"/>
      <c r="C40" s="262" t="s">
        <v>10</v>
      </c>
      <c r="D40" s="262"/>
      <c r="E40" s="51"/>
      <c r="F40" s="51"/>
      <c r="G40" s="50"/>
      <c r="H40" s="248"/>
      <c r="I40" s="249"/>
      <c r="J40"/>
      <c r="K40"/>
      <c r="L40" s="4">
        <f>IF(H68&gt;0.01,100,0)</f>
        <v>0</v>
      </c>
      <c r="M40"/>
      <c r="N40"/>
      <c r="O40"/>
      <c r="P40"/>
      <c r="Q40" s="250" t="s">
        <v>513</v>
      </c>
      <c r="R40" s="251"/>
      <c r="S40" s="251"/>
      <c r="T40" s="251"/>
      <c r="U40" s="251"/>
      <c r="V40" s="251"/>
      <c r="W40" s="251"/>
      <c r="X40" s="252"/>
    </row>
    <row r="41" spans="1:24" ht="15" customHeight="1" x14ac:dyDescent="0.2">
      <c r="A41" s="36"/>
      <c r="B41" s="49"/>
      <c r="C41" s="51"/>
      <c r="D41" s="262" t="s">
        <v>11</v>
      </c>
      <c r="E41" s="262"/>
      <c r="F41" s="59" t="s">
        <v>15</v>
      </c>
      <c r="G41" s="51"/>
      <c r="H41" s="141"/>
      <c r="I41" s="54" t="s">
        <v>12</v>
      </c>
      <c r="J41"/>
      <c r="K41">
        <f>IF(H41&gt;0.9,200,0)</f>
        <v>0</v>
      </c>
      <c r="L41" s="4">
        <f>IF(H56&gt;0.9,300,K41)</f>
        <v>0</v>
      </c>
      <c r="M41"/>
      <c r="N41">
        <v>600</v>
      </c>
      <c r="O41">
        <f>IF(H41&gt;0.9,600,0)</f>
        <v>0</v>
      </c>
      <c r="P41"/>
      <c r="Q41" s="253"/>
      <c r="R41" s="254"/>
      <c r="S41" s="254"/>
      <c r="T41" s="254"/>
      <c r="U41" s="254"/>
      <c r="V41" s="254"/>
      <c r="W41" s="254"/>
      <c r="X41" s="255"/>
    </row>
    <row r="42" spans="1:24" ht="5.0999999999999996" customHeight="1" x14ac:dyDescent="0.2">
      <c r="A42" s="36"/>
      <c r="B42" s="49"/>
      <c r="C42" s="51"/>
      <c r="D42" s="43"/>
      <c r="E42" s="43"/>
      <c r="F42" s="59"/>
      <c r="G42" s="51"/>
      <c r="H42" s="141"/>
      <c r="I42" s="54"/>
      <c r="J42"/>
      <c r="K42"/>
      <c r="L42" s="4"/>
      <c r="M42"/>
      <c r="N42"/>
      <c r="O42"/>
      <c r="P42"/>
      <c r="Q42" s="253"/>
      <c r="R42" s="254"/>
      <c r="S42" s="254"/>
      <c r="T42" s="254"/>
      <c r="U42" s="254"/>
      <c r="V42" s="254"/>
      <c r="W42" s="254"/>
      <c r="X42" s="255"/>
    </row>
    <row r="43" spans="1:24" ht="15" customHeight="1" x14ac:dyDescent="0.2">
      <c r="A43" s="36"/>
      <c r="B43" s="49"/>
      <c r="C43" s="51"/>
      <c r="D43" s="51"/>
      <c r="E43" s="51"/>
      <c r="F43" s="59" t="s">
        <v>16</v>
      </c>
      <c r="G43" s="51"/>
      <c r="H43" s="141"/>
      <c r="I43" s="54" t="s">
        <v>12</v>
      </c>
      <c r="J43"/>
      <c r="K43">
        <f>IF(H43&gt;0.9,200,0)</f>
        <v>0</v>
      </c>
      <c r="L43" s="4">
        <f>IF(H56&gt;0.9,300,K43)</f>
        <v>0</v>
      </c>
      <c r="M43"/>
      <c r="N43">
        <v>600</v>
      </c>
      <c r="O43">
        <f>IF(H43&gt;0.9,600,0)</f>
        <v>0</v>
      </c>
      <c r="P43"/>
      <c r="Q43" s="256"/>
      <c r="R43" s="257"/>
      <c r="S43" s="257"/>
      <c r="T43" s="257"/>
      <c r="U43" s="257"/>
      <c r="V43" s="257"/>
      <c r="W43" s="257"/>
      <c r="X43" s="258"/>
    </row>
    <row r="44" spans="1:24" ht="5.0999999999999996" customHeight="1" x14ac:dyDescent="0.2">
      <c r="A44" s="36"/>
      <c r="B44" s="49"/>
      <c r="C44" s="51"/>
      <c r="D44" s="51"/>
      <c r="E44" s="51"/>
      <c r="F44" s="59"/>
      <c r="G44" s="51"/>
      <c r="H44" s="141"/>
      <c r="I44" s="54"/>
      <c r="J44"/>
      <c r="K44"/>
      <c r="L44" s="4"/>
      <c r="M44"/>
      <c r="N44"/>
      <c r="O44"/>
      <c r="P44"/>
      <c r="Q44" s="202"/>
      <c r="R44" s="202"/>
      <c r="S44" s="202"/>
      <c r="T44" s="202"/>
      <c r="U44" s="202"/>
      <c r="V44" s="202"/>
      <c r="W44" s="202"/>
      <c r="X44" s="202"/>
    </row>
    <row r="45" spans="1:24" ht="15" customHeight="1" x14ac:dyDescent="0.2">
      <c r="A45" s="36"/>
      <c r="B45" s="49"/>
      <c r="C45" s="51"/>
      <c r="D45" s="51"/>
      <c r="E45" s="51"/>
      <c r="F45" s="59" t="s">
        <v>17</v>
      </c>
      <c r="G45" s="51"/>
      <c r="H45" s="141"/>
      <c r="I45" s="54" t="s">
        <v>12</v>
      </c>
      <c r="J45"/>
      <c r="K45">
        <f>IF(H45&gt;0.9,200,0)</f>
        <v>0</v>
      </c>
      <c r="L45" s="4">
        <f>IF(H56&gt;0.9,300,K45)</f>
        <v>0</v>
      </c>
      <c r="M45"/>
      <c r="N45">
        <v>600</v>
      </c>
      <c r="O45">
        <f>IF(H45&gt;0.9,600,0)</f>
        <v>0</v>
      </c>
      <c r="P45"/>
      <c r="Q45" s="297" t="s">
        <v>515</v>
      </c>
      <c r="R45" s="298"/>
      <c r="S45" s="298"/>
      <c r="T45" s="298"/>
      <c r="U45" s="298"/>
      <c r="V45" s="298"/>
      <c r="W45" s="298"/>
      <c r="X45" s="299"/>
    </row>
    <row r="46" spans="1:24" s="36" customFormat="1" ht="6" customHeight="1" x14ac:dyDescent="0.2">
      <c r="B46" s="244"/>
      <c r="C46" s="245"/>
      <c r="D46" s="245"/>
      <c r="E46" s="245"/>
      <c r="F46" s="245"/>
      <c r="G46" s="245"/>
      <c r="H46" s="245"/>
      <c r="I46" s="247"/>
      <c r="J46" s="39"/>
      <c r="K46" s="39"/>
      <c r="L46" s="38"/>
      <c r="M46" s="39"/>
      <c r="N46" s="39"/>
      <c r="O46" s="39"/>
      <c r="P46" s="39"/>
      <c r="Q46" s="300"/>
      <c r="R46" s="301"/>
      <c r="S46" s="301"/>
      <c r="T46" s="301"/>
      <c r="U46" s="301"/>
      <c r="V46" s="301"/>
      <c r="W46" s="301"/>
      <c r="X46" s="302"/>
    </row>
    <row r="47" spans="1:24" ht="15" customHeight="1" x14ac:dyDescent="0.2">
      <c r="A47" s="36"/>
      <c r="B47" s="49"/>
      <c r="C47" s="51"/>
      <c r="D47" s="51"/>
      <c r="E47" s="51"/>
      <c r="F47" s="262" t="s">
        <v>13</v>
      </c>
      <c r="G47" s="262"/>
      <c r="H47" s="141"/>
      <c r="I47" s="54" t="s">
        <v>14</v>
      </c>
      <c r="J47"/>
      <c r="K47"/>
      <c r="L47"/>
      <c r="M47"/>
      <c r="N47"/>
      <c r="O47"/>
      <c r="P47"/>
      <c r="Q47" s="303"/>
      <c r="R47" s="304"/>
      <c r="S47" s="304"/>
      <c r="T47" s="304"/>
      <c r="U47" s="304"/>
      <c r="V47" s="304"/>
      <c r="W47" s="304"/>
      <c r="X47" s="305"/>
    </row>
    <row r="48" spans="1:24" ht="5.0999999999999996" customHeight="1" x14ac:dyDescent="0.2">
      <c r="A48" s="36"/>
      <c r="B48" s="244"/>
      <c r="C48" s="245"/>
      <c r="D48" s="245"/>
      <c r="E48" s="245"/>
      <c r="F48" s="245"/>
      <c r="G48" s="245"/>
      <c r="H48" s="245"/>
      <c r="I48" s="247"/>
      <c r="J48"/>
      <c r="K48"/>
      <c r="L48"/>
      <c r="M48"/>
      <c r="N48"/>
      <c r="O48"/>
      <c r="P48"/>
    </row>
    <row r="49" spans="1:24" ht="15" customHeight="1" x14ac:dyDescent="0.2">
      <c r="A49" s="36"/>
      <c r="B49" s="244"/>
      <c r="C49" s="245"/>
      <c r="D49" s="245"/>
      <c r="E49" s="245"/>
      <c r="F49" s="245"/>
      <c r="G49" s="245"/>
      <c r="H49" s="245"/>
      <c r="I49" s="247"/>
      <c r="J49"/>
      <c r="K49"/>
      <c r="L49"/>
      <c r="M49"/>
      <c r="N49"/>
      <c r="O49"/>
      <c r="P49"/>
      <c r="Q49" s="250" t="s">
        <v>512</v>
      </c>
      <c r="R49" s="251"/>
      <c r="S49" s="251"/>
      <c r="T49" s="251"/>
      <c r="U49" s="251"/>
      <c r="V49" s="251"/>
      <c r="W49" s="251"/>
      <c r="X49" s="252"/>
    </row>
    <row r="50" spans="1:24" ht="15" customHeight="1" x14ac:dyDescent="0.2">
      <c r="A50" s="36"/>
      <c r="B50" s="49"/>
      <c r="C50" s="51"/>
      <c r="D50" s="262" t="s">
        <v>18</v>
      </c>
      <c r="E50" s="262"/>
      <c r="F50" s="262"/>
      <c r="G50" s="262"/>
      <c r="H50" s="141"/>
      <c r="I50" s="54" t="s">
        <v>12</v>
      </c>
      <c r="J50"/>
      <c r="K50"/>
      <c r="L50">
        <f>IF(H50&gt;0.9,300,0)</f>
        <v>0</v>
      </c>
      <c r="M50"/>
      <c r="N50">
        <v>5000</v>
      </c>
      <c r="O50">
        <f>IF(H50&gt;0.9,5000,0)</f>
        <v>0</v>
      </c>
      <c r="P50"/>
      <c r="Q50" s="256"/>
      <c r="R50" s="257"/>
      <c r="S50" s="257"/>
      <c r="T50" s="257"/>
      <c r="U50" s="257"/>
      <c r="V50" s="257"/>
      <c r="W50" s="257"/>
      <c r="X50" s="258"/>
    </row>
    <row r="51" spans="1:24" ht="5.0999999999999996" customHeight="1" x14ac:dyDescent="0.2">
      <c r="A51" s="36"/>
      <c r="B51" s="244"/>
      <c r="C51" s="245"/>
      <c r="D51" s="245"/>
      <c r="E51" s="245"/>
      <c r="F51" s="245"/>
      <c r="G51" s="245"/>
      <c r="H51" s="245"/>
      <c r="I51" s="247"/>
      <c r="J51"/>
      <c r="K51"/>
      <c r="L51"/>
      <c r="M51"/>
      <c r="N51"/>
      <c r="O51"/>
      <c r="P51"/>
      <c r="Q51" s="218"/>
      <c r="R51" s="189"/>
      <c r="S51" s="189"/>
      <c r="T51" s="189"/>
      <c r="U51" s="189"/>
      <c r="V51" s="189"/>
      <c r="W51" s="189"/>
      <c r="X51" s="219"/>
    </row>
    <row r="52" spans="1:24" ht="15" customHeight="1" x14ac:dyDescent="0.2">
      <c r="A52" s="36"/>
      <c r="B52" s="244"/>
      <c r="C52" s="245"/>
      <c r="D52" s="245"/>
      <c r="E52" s="245"/>
      <c r="F52" s="245"/>
      <c r="G52" s="245"/>
      <c r="H52" s="245"/>
      <c r="I52" s="247"/>
      <c r="J52"/>
      <c r="K52"/>
      <c r="L52"/>
      <c r="M52"/>
      <c r="N52"/>
      <c r="O52"/>
      <c r="P52"/>
      <c r="Q52" s="297" t="s">
        <v>516</v>
      </c>
      <c r="R52" s="298"/>
      <c r="S52" s="298"/>
      <c r="T52" s="298"/>
      <c r="U52" s="298"/>
      <c r="V52" s="298"/>
      <c r="W52" s="298"/>
      <c r="X52" s="299"/>
    </row>
    <row r="53" spans="1:24" ht="15" customHeight="1" x14ac:dyDescent="0.2">
      <c r="A53" s="36"/>
      <c r="B53" s="49"/>
      <c r="C53" s="51"/>
      <c r="D53" s="262" t="s">
        <v>19</v>
      </c>
      <c r="E53" s="262"/>
      <c r="F53" s="262"/>
      <c r="G53" s="262"/>
      <c r="H53" s="141"/>
      <c r="I53" s="54" t="s">
        <v>12</v>
      </c>
      <c r="J53"/>
      <c r="K53">
        <f>IF(H53&gt;0.9,200,0)</f>
        <v>0</v>
      </c>
      <c r="L53" s="4">
        <f>IF(H56&gt;0.9,300,K53)</f>
        <v>0</v>
      </c>
      <c r="M53"/>
      <c r="N53">
        <v>600</v>
      </c>
      <c r="O53">
        <f>IF(H53&gt;0.9,600,0)</f>
        <v>0</v>
      </c>
      <c r="P53"/>
      <c r="Q53" s="300"/>
      <c r="R53" s="301"/>
      <c r="S53" s="301"/>
      <c r="T53" s="301"/>
      <c r="U53" s="301"/>
      <c r="V53" s="301"/>
      <c r="W53" s="301"/>
      <c r="X53" s="302"/>
    </row>
    <row r="54" spans="1:24" ht="94.5" hidden="1" customHeight="1" x14ac:dyDescent="0.2">
      <c r="A54" s="36"/>
      <c r="B54" s="49"/>
      <c r="C54" s="51"/>
      <c r="D54" s="262" t="s">
        <v>319</v>
      </c>
      <c r="E54" s="262"/>
      <c r="F54" s="262"/>
      <c r="G54" s="262"/>
      <c r="H54" s="141"/>
      <c r="I54" s="54" t="s">
        <v>86</v>
      </c>
      <c r="J54"/>
      <c r="K54"/>
      <c r="L54"/>
      <c r="M54"/>
      <c r="N54"/>
      <c r="O54"/>
      <c r="P54"/>
      <c r="Q54" s="300"/>
      <c r="R54" s="301"/>
      <c r="S54" s="301"/>
      <c r="T54" s="301"/>
      <c r="U54" s="301"/>
      <c r="V54" s="301"/>
      <c r="W54" s="301"/>
      <c r="X54" s="302"/>
    </row>
    <row r="55" spans="1:24" ht="15" customHeight="1" x14ac:dyDescent="0.2">
      <c r="A55" s="36"/>
      <c r="B55" s="267"/>
      <c r="C55" s="268"/>
      <c r="D55" s="268"/>
      <c r="E55" s="268"/>
      <c r="F55" s="268"/>
      <c r="G55" s="268"/>
      <c r="H55" s="268"/>
      <c r="I55" s="269"/>
      <c r="J55"/>
      <c r="K55"/>
      <c r="L55">
        <f>H61</f>
        <v>0</v>
      </c>
      <c r="M55"/>
      <c r="N55"/>
      <c r="O55"/>
      <c r="P55"/>
      <c r="Q55" s="300"/>
      <c r="R55" s="301"/>
      <c r="S55" s="301"/>
      <c r="T55" s="301"/>
      <c r="U55" s="301"/>
      <c r="V55" s="301"/>
      <c r="W55" s="301"/>
      <c r="X55" s="302"/>
    </row>
    <row r="56" spans="1:24" x14ac:dyDescent="0.2">
      <c r="A56" s="36"/>
      <c r="B56" s="49"/>
      <c r="C56" s="51"/>
      <c r="D56" s="262" t="s">
        <v>319</v>
      </c>
      <c r="E56" s="262"/>
      <c r="F56" s="262"/>
      <c r="G56" s="262"/>
      <c r="H56" s="141"/>
      <c r="I56" s="54" t="s">
        <v>86</v>
      </c>
      <c r="J56"/>
      <c r="K56"/>
      <c r="L56"/>
      <c r="M56"/>
      <c r="N56"/>
      <c r="O56"/>
      <c r="P56"/>
      <c r="Q56" s="300"/>
      <c r="R56" s="301"/>
      <c r="S56" s="301"/>
      <c r="T56" s="301"/>
      <c r="U56" s="301"/>
      <c r="V56" s="301"/>
      <c r="W56" s="301"/>
      <c r="X56" s="302"/>
    </row>
    <row r="57" spans="1:24" ht="15" customHeight="1" x14ac:dyDescent="0.2">
      <c r="A57" s="36"/>
      <c r="B57" s="267"/>
      <c r="C57" s="268"/>
      <c r="D57" s="268"/>
      <c r="E57" s="268"/>
      <c r="F57" s="268"/>
      <c r="G57" s="268"/>
      <c r="H57" s="268"/>
      <c r="I57" s="269"/>
      <c r="J57"/>
      <c r="K57"/>
      <c r="L57"/>
      <c r="M57"/>
      <c r="N57"/>
      <c r="O57"/>
      <c r="P57"/>
      <c r="Q57" s="300"/>
      <c r="R57" s="301"/>
      <c r="S57" s="301"/>
      <c r="T57" s="301"/>
      <c r="U57" s="301"/>
      <c r="V57" s="301"/>
      <c r="W57" s="301"/>
      <c r="X57" s="302"/>
    </row>
    <row r="58" spans="1:24" ht="15" customHeight="1" x14ac:dyDescent="0.3">
      <c r="A58" s="36"/>
      <c r="B58" s="49"/>
      <c r="C58" s="262" t="s">
        <v>367</v>
      </c>
      <c r="D58" s="262"/>
      <c r="E58" s="262"/>
      <c r="F58" s="262"/>
      <c r="G58" s="262"/>
      <c r="H58" s="141"/>
      <c r="I58" s="53"/>
      <c r="J58"/>
      <c r="K58"/>
      <c r="L58">
        <f>MAX(L8:L55)</f>
        <v>0</v>
      </c>
      <c r="M58"/>
      <c r="N58"/>
      <c r="O58">
        <f>MAX(O7:O54)</f>
        <v>2500</v>
      </c>
      <c r="P58"/>
      <c r="Q58" s="300"/>
      <c r="R58" s="301"/>
      <c r="S58" s="301"/>
      <c r="T58" s="301"/>
      <c r="U58" s="301"/>
      <c r="V58" s="301"/>
      <c r="W58" s="301"/>
      <c r="X58" s="302"/>
    </row>
    <row r="59" spans="1:24" ht="15" customHeight="1" x14ac:dyDescent="0.2">
      <c r="A59" s="36"/>
      <c r="B59" s="267"/>
      <c r="C59" s="268"/>
      <c r="D59" s="268"/>
      <c r="E59" s="268"/>
      <c r="F59" s="268"/>
      <c r="G59" s="268"/>
      <c r="H59" s="268"/>
      <c r="I59" s="269"/>
      <c r="J59"/>
      <c r="K59"/>
      <c r="L59"/>
      <c r="M59"/>
      <c r="N59"/>
      <c r="O59"/>
      <c r="P59"/>
      <c r="Q59" s="303"/>
      <c r="R59" s="304"/>
      <c r="S59" s="304"/>
      <c r="T59" s="304"/>
      <c r="U59" s="304"/>
      <c r="V59" s="304"/>
      <c r="W59" s="304"/>
      <c r="X59" s="305"/>
    </row>
    <row r="60" spans="1:24" ht="5.0999999999999996" customHeight="1" x14ac:dyDescent="0.2">
      <c r="A60" s="36"/>
      <c r="B60" s="267"/>
      <c r="C60" s="268"/>
      <c r="D60" s="268"/>
      <c r="E60" s="268"/>
      <c r="F60" s="268"/>
      <c r="G60" s="268"/>
      <c r="H60" s="268"/>
      <c r="I60" s="269"/>
      <c r="J60"/>
      <c r="K60"/>
      <c r="L60"/>
      <c r="M60"/>
      <c r="N60"/>
      <c r="O60"/>
      <c r="P60"/>
    </row>
    <row r="61" spans="1:24" ht="15" customHeight="1" x14ac:dyDescent="0.3">
      <c r="A61" s="36"/>
      <c r="B61" s="49"/>
      <c r="C61" s="262" t="s">
        <v>448</v>
      </c>
      <c r="D61" s="262"/>
      <c r="E61" s="262"/>
      <c r="F61" s="262"/>
      <c r="G61" s="262"/>
      <c r="H61" s="141"/>
      <c r="I61" s="54" t="s">
        <v>423</v>
      </c>
      <c r="J61"/>
      <c r="K61"/>
      <c r="L61"/>
      <c r="M61"/>
      <c r="N61"/>
      <c r="O61"/>
      <c r="P61"/>
      <c r="Q61" s="250" t="s">
        <v>521</v>
      </c>
      <c r="R61" s="251"/>
      <c r="S61" s="251"/>
      <c r="T61" s="251"/>
      <c r="U61" s="251"/>
      <c r="V61" s="251"/>
      <c r="W61" s="251"/>
      <c r="X61" s="252"/>
    </row>
    <row r="62" spans="1:24" s="36" customFormat="1" ht="15" customHeight="1" x14ac:dyDescent="0.2">
      <c r="B62" s="267"/>
      <c r="C62" s="268"/>
      <c r="D62" s="268"/>
      <c r="E62" s="268"/>
      <c r="F62" s="268"/>
      <c r="G62" s="268"/>
      <c r="H62" s="268"/>
      <c r="I62" s="269"/>
      <c r="J62" s="39"/>
      <c r="K62" s="39"/>
      <c r="L62" s="39"/>
      <c r="M62" s="39"/>
      <c r="N62" s="39"/>
      <c r="O62" s="39"/>
      <c r="P62" s="39"/>
      <c r="Q62" s="253"/>
      <c r="R62" s="254"/>
      <c r="S62" s="254"/>
      <c r="T62" s="254"/>
      <c r="U62" s="254"/>
      <c r="V62" s="254"/>
      <c r="W62" s="254"/>
      <c r="X62" s="255"/>
    </row>
    <row r="63" spans="1:24" ht="5.0999999999999996" customHeight="1" x14ac:dyDescent="0.2">
      <c r="A63" s="36"/>
      <c r="B63" s="267"/>
      <c r="C63" s="268"/>
      <c r="D63" s="268"/>
      <c r="E63" s="268"/>
      <c r="F63" s="268"/>
      <c r="G63" s="268"/>
      <c r="H63" s="268"/>
      <c r="I63" s="269"/>
      <c r="J63"/>
      <c r="K63"/>
      <c r="L63"/>
      <c r="M63"/>
      <c r="N63"/>
      <c r="O63"/>
      <c r="P63"/>
      <c r="Q63" s="253"/>
      <c r="R63" s="254"/>
      <c r="S63" s="254"/>
      <c r="T63" s="254"/>
      <c r="U63" s="254"/>
      <c r="V63" s="254"/>
      <c r="W63" s="254"/>
      <c r="X63" s="255"/>
    </row>
    <row r="64" spans="1:24" ht="15" customHeight="1" x14ac:dyDescent="0.2">
      <c r="A64" s="36"/>
      <c r="B64" s="49" t="s">
        <v>24</v>
      </c>
      <c r="C64" s="262" t="s">
        <v>25</v>
      </c>
      <c r="D64" s="262"/>
      <c r="E64" s="262"/>
      <c r="F64" s="262"/>
      <c r="G64" s="262"/>
      <c r="H64" s="262"/>
      <c r="I64" s="263"/>
      <c r="J64"/>
      <c r="K64"/>
      <c r="L64"/>
      <c r="M64"/>
      <c r="N64"/>
      <c r="O64"/>
      <c r="P64"/>
      <c r="Q64" s="253"/>
      <c r="R64" s="254"/>
      <c r="S64" s="254"/>
      <c r="T64" s="254"/>
      <c r="U64" s="254"/>
      <c r="V64" s="254"/>
      <c r="W64" s="254"/>
      <c r="X64" s="255"/>
    </row>
    <row r="65" spans="1:25" ht="15" customHeight="1" x14ac:dyDescent="0.2">
      <c r="A65" s="36"/>
      <c r="B65" s="244"/>
      <c r="C65" s="245"/>
      <c r="D65" s="245"/>
      <c r="E65" s="245"/>
      <c r="F65" s="245"/>
      <c r="G65" s="245"/>
      <c r="H65" s="245"/>
      <c r="I65" s="247"/>
      <c r="J65"/>
      <c r="K65"/>
      <c r="L65"/>
      <c r="M65"/>
      <c r="N65"/>
      <c r="O65"/>
      <c r="P65"/>
      <c r="Q65" s="256"/>
      <c r="R65" s="257"/>
      <c r="S65" s="257"/>
      <c r="T65" s="257"/>
      <c r="U65" s="257"/>
      <c r="V65" s="257"/>
      <c r="W65" s="257"/>
      <c r="X65" s="258"/>
    </row>
    <row r="66" spans="1:25" ht="5.0999999999999996" customHeight="1" x14ac:dyDescent="0.2">
      <c r="A66" s="36"/>
      <c r="B66" s="244"/>
      <c r="C66" s="245"/>
      <c r="D66" s="245"/>
      <c r="E66" s="245"/>
      <c r="F66" s="245"/>
      <c r="G66" s="245"/>
      <c r="H66" s="245"/>
      <c r="I66" s="247"/>
      <c r="J66"/>
      <c r="K66"/>
      <c r="L66"/>
      <c r="M66"/>
      <c r="N66"/>
      <c r="O66"/>
      <c r="P66"/>
    </row>
    <row r="67" spans="1:25" ht="24.95" customHeight="1" x14ac:dyDescent="0.2">
      <c r="A67" s="36"/>
      <c r="B67" s="49"/>
      <c r="C67" s="57"/>
      <c r="D67" s="260" t="s">
        <v>424</v>
      </c>
      <c r="E67" s="260"/>
      <c r="F67" s="260"/>
      <c r="G67" s="260"/>
      <c r="H67" s="248"/>
      <c r="I67" s="249"/>
      <c r="J67"/>
      <c r="K67"/>
      <c r="L67"/>
      <c r="M67"/>
      <c r="N67"/>
      <c r="O67"/>
      <c r="P67"/>
      <c r="Q67" s="250" t="s">
        <v>517</v>
      </c>
      <c r="R67" s="251"/>
      <c r="S67" s="251"/>
      <c r="T67" s="251"/>
      <c r="U67" s="251"/>
      <c r="V67" s="251"/>
      <c r="W67" s="251"/>
      <c r="X67" s="252"/>
    </row>
    <row r="68" spans="1:25" ht="15" customHeight="1" x14ac:dyDescent="0.2">
      <c r="A68" s="36"/>
      <c r="B68" s="47"/>
      <c r="C68" s="48"/>
      <c r="D68" s="48"/>
      <c r="E68" s="51"/>
      <c r="F68" s="51"/>
      <c r="G68" s="50"/>
      <c r="H68" s="141"/>
      <c r="I68" s="61" t="s">
        <v>26</v>
      </c>
      <c r="J68"/>
      <c r="K68"/>
      <c r="L68"/>
      <c r="M68"/>
      <c r="N68"/>
      <c r="O68"/>
      <c r="P68"/>
      <c r="Q68" s="253"/>
      <c r="R68" s="254"/>
      <c r="S68" s="254"/>
      <c r="T68" s="254"/>
      <c r="U68" s="254"/>
      <c r="V68" s="254"/>
      <c r="W68" s="254"/>
      <c r="X68" s="255"/>
    </row>
    <row r="69" spans="1:25" ht="15" customHeight="1" x14ac:dyDescent="0.2">
      <c r="A69" s="36"/>
      <c r="B69" s="264"/>
      <c r="C69" s="265"/>
      <c r="D69" s="265"/>
      <c r="E69" s="265"/>
      <c r="F69" s="265"/>
      <c r="G69" s="265"/>
      <c r="H69" s="265"/>
      <c r="I69" s="266"/>
      <c r="J69"/>
      <c r="K69"/>
      <c r="L69"/>
      <c r="M69"/>
      <c r="N69"/>
      <c r="O69"/>
      <c r="P69"/>
      <c r="Q69" s="256"/>
      <c r="R69" s="257"/>
      <c r="S69" s="257"/>
      <c r="T69" s="257"/>
      <c r="U69" s="257"/>
      <c r="V69" s="257"/>
      <c r="W69" s="257"/>
      <c r="X69" s="258"/>
    </row>
    <row r="70" spans="1:25" ht="15" customHeight="1" x14ac:dyDescent="0.2">
      <c r="A70" s="36"/>
      <c r="B70" s="2"/>
      <c r="G70" s="2"/>
      <c r="H70" s="2"/>
      <c r="J70"/>
      <c r="K70"/>
      <c r="L70"/>
      <c r="M70"/>
      <c r="N70"/>
      <c r="O70"/>
      <c r="P70"/>
    </row>
    <row r="71" spans="1:25" ht="15" customHeight="1" x14ac:dyDescent="0.2">
      <c r="A71" s="36"/>
      <c r="B71" s="2"/>
      <c r="G71" s="2"/>
      <c r="H71" s="2"/>
      <c r="J71"/>
      <c r="K71"/>
      <c r="L71"/>
      <c r="M71"/>
      <c r="N71"/>
      <c r="O71"/>
      <c r="P71"/>
    </row>
    <row r="72" spans="1:25" ht="5.0999999999999996" customHeight="1" x14ac:dyDescent="0.2">
      <c r="A72" s="36"/>
      <c r="B72" s="2"/>
      <c r="G72" s="2"/>
      <c r="H72" s="2"/>
      <c r="J72"/>
      <c r="K72"/>
      <c r="L72"/>
      <c r="M72"/>
      <c r="N72"/>
      <c r="O72"/>
      <c r="P72"/>
    </row>
    <row r="73" spans="1:25" ht="20.25" customHeight="1" x14ac:dyDescent="0.2">
      <c r="A73" s="36"/>
      <c r="B73" s="2"/>
      <c r="G73" s="2"/>
      <c r="H73" s="2"/>
      <c r="J73"/>
      <c r="K73"/>
      <c r="L73"/>
      <c r="M73"/>
      <c r="N73"/>
      <c r="O73"/>
      <c r="P73"/>
    </row>
    <row r="74" spans="1:25" ht="6" customHeight="1" x14ac:dyDescent="0.2">
      <c r="A74" s="36"/>
      <c r="B74" s="2"/>
      <c r="G74" s="2"/>
      <c r="H74" s="2"/>
      <c r="J74"/>
      <c r="K74"/>
      <c r="L74"/>
      <c r="M74"/>
      <c r="N74"/>
      <c r="O74"/>
      <c r="P74"/>
    </row>
    <row r="75" spans="1:25" ht="29.25" customHeight="1" x14ac:dyDescent="0.2">
      <c r="A75" s="36"/>
      <c r="B75" s="2"/>
      <c r="G75" s="2"/>
      <c r="H75" s="2"/>
    </row>
    <row r="76" spans="1:25" ht="15" customHeight="1" x14ac:dyDescent="0.2">
      <c r="A76" s="36"/>
      <c r="B76" s="2"/>
      <c r="G76" s="2"/>
      <c r="H76" s="2"/>
    </row>
    <row r="77" spans="1:25" x14ac:dyDescent="0.2">
      <c r="B77" s="2"/>
      <c r="G77" s="2"/>
      <c r="H77" s="2"/>
      <c r="J77"/>
      <c r="Y77" s="187"/>
    </row>
    <row r="78" spans="1:25" ht="63.75" customHeight="1" x14ac:dyDescent="0.2">
      <c r="B78" s="2"/>
      <c r="G78" s="2"/>
      <c r="H78" s="2"/>
    </row>
    <row r="79" spans="1:25" x14ac:dyDescent="0.2">
      <c r="B79" s="2"/>
      <c r="G79" s="2"/>
      <c r="H79" s="2"/>
    </row>
    <row r="80" spans="1:25" x14ac:dyDescent="0.2">
      <c r="B80" s="2"/>
      <c r="G80" s="2"/>
      <c r="H80" s="2"/>
    </row>
    <row r="81" spans="2:8" x14ac:dyDescent="0.2">
      <c r="B81" s="2"/>
      <c r="G81" s="2"/>
      <c r="H81" s="2"/>
    </row>
    <row r="82" spans="2:8" x14ac:dyDescent="0.2">
      <c r="B82" s="2"/>
      <c r="G82" s="2"/>
      <c r="H82" s="2"/>
    </row>
    <row r="83" spans="2:8" x14ac:dyDescent="0.2">
      <c r="B83" s="2"/>
      <c r="G83" s="2"/>
      <c r="H83" s="2"/>
    </row>
    <row r="84" spans="2:8" x14ac:dyDescent="0.2">
      <c r="B84" s="2"/>
      <c r="G84" s="2"/>
      <c r="H84" s="2"/>
    </row>
    <row r="85" spans="2:8" x14ac:dyDescent="0.2">
      <c r="B85" s="2"/>
      <c r="G85" s="2"/>
      <c r="H85" s="2"/>
    </row>
    <row r="86" spans="2:8" x14ac:dyDescent="0.2">
      <c r="B86" s="2"/>
      <c r="G86" s="2"/>
      <c r="H86" s="2"/>
    </row>
    <row r="87" spans="2:8" x14ac:dyDescent="0.2">
      <c r="B87" s="2"/>
      <c r="G87" s="2"/>
      <c r="H87" s="2"/>
    </row>
    <row r="88" spans="2:8" x14ac:dyDescent="0.2">
      <c r="B88" s="2"/>
      <c r="G88" s="2"/>
      <c r="H88" s="2"/>
    </row>
    <row r="89" spans="2:8" x14ac:dyDescent="0.2">
      <c r="B89" s="2"/>
      <c r="G89" s="2"/>
      <c r="H89" s="2"/>
    </row>
    <row r="90" spans="2:8" x14ac:dyDescent="0.2">
      <c r="B90" s="2"/>
      <c r="G90" s="2"/>
      <c r="H90" s="2"/>
    </row>
    <row r="91" spans="2:8" x14ac:dyDescent="0.2">
      <c r="B91" s="2"/>
      <c r="G91" s="2"/>
      <c r="H91" s="2"/>
    </row>
    <row r="92" spans="2:8" x14ac:dyDescent="0.2">
      <c r="B92" s="2"/>
      <c r="G92" s="2"/>
      <c r="H92" s="2"/>
    </row>
    <row r="93" spans="2:8" x14ac:dyDescent="0.2">
      <c r="B93" s="2"/>
      <c r="G93" s="2"/>
      <c r="H93" s="2"/>
    </row>
    <row r="94" spans="2:8" x14ac:dyDescent="0.2">
      <c r="B94" s="2"/>
      <c r="G94" s="2"/>
      <c r="H94" s="2"/>
    </row>
    <row r="95" spans="2:8" x14ac:dyDescent="0.2">
      <c r="B95" s="2"/>
      <c r="G95" s="2"/>
      <c r="H95" s="2"/>
    </row>
    <row r="96" spans="2:8" x14ac:dyDescent="0.2">
      <c r="B96" s="2"/>
      <c r="G96" s="2"/>
      <c r="H96" s="2"/>
    </row>
    <row r="97" spans="2:8" x14ac:dyDescent="0.2">
      <c r="B97" s="2"/>
      <c r="G97" s="2"/>
      <c r="H97" s="2"/>
    </row>
    <row r="98" spans="2:8" x14ac:dyDescent="0.2">
      <c r="B98" s="2"/>
      <c r="G98" s="2"/>
      <c r="H98" s="2"/>
    </row>
    <row r="99" spans="2:8" x14ac:dyDescent="0.2">
      <c r="B99" s="2"/>
      <c r="G99" s="2"/>
      <c r="H99" s="2"/>
    </row>
    <row r="100" spans="2:8" x14ac:dyDescent="0.2">
      <c r="B100" s="2"/>
      <c r="G100" s="2"/>
      <c r="H100" s="2"/>
    </row>
    <row r="101" spans="2:8" x14ac:dyDescent="0.2">
      <c r="B101" s="2"/>
      <c r="G101" s="2"/>
      <c r="H101" s="2"/>
    </row>
    <row r="102" spans="2:8" x14ac:dyDescent="0.2">
      <c r="B102" s="2"/>
      <c r="G102" s="2"/>
      <c r="H102" s="2"/>
    </row>
    <row r="103" spans="2:8" x14ac:dyDescent="0.2">
      <c r="B103" s="2"/>
      <c r="G103" s="2"/>
      <c r="H103" s="2"/>
    </row>
    <row r="104" spans="2:8" x14ac:dyDescent="0.2">
      <c r="B104" s="2"/>
      <c r="G104" s="2"/>
      <c r="H104" s="2"/>
    </row>
    <row r="105" spans="2:8" x14ac:dyDescent="0.2">
      <c r="B105" s="2"/>
      <c r="G105" s="2"/>
      <c r="H105" s="2"/>
    </row>
    <row r="106" spans="2:8" x14ac:dyDescent="0.2">
      <c r="B106" s="2"/>
      <c r="G106" s="2"/>
      <c r="H106" s="2"/>
    </row>
    <row r="107" spans="2:8" x14ac:dyDescent="0.2">
      <c r="B107" s="2"/>
      <c r="G107" s="2"/>
      <c r="H107" s="2"/>
    </row>
    <row r="108" spans="2:8" x14ac:dyDescent="0.2">
      <c r="B108" s="2"/>
      <c r="G108" s="2"/>
      <c r="H108" s="2"/>
    </row>
    <row r="109" spans="2:8" x14ac:dyDescent="0.2">
      <c r="B109" s="2"/>
      <c r="G109" s="2"/>
      <c r="H109" s="2"/>
    </row>
    <row r="110" spans="2:8" x14ac:dyDescent="0.2">
      <c r="B110" s="2"/>
      <c r="G110" s="2"/>
      <c r="H110" s="2"/>
    </row>
    <row r="111" spans="2:8" x14ac:dyDescent="0.2">
      <c r="B111" s="2"/>
      <c r="G111" s="2"/>
      <c r="H111" s="2"/>
    </row>
    <row r="112" spans="2:8" x14ac:dyDescent="0.2">
      <c r="B112" s="2"/>
      <c r="G112" s="2"/>
      <c r="H112" s="2"/>
    </row>
    <row r="113" spans="2:8" x14ac:dyDescent="0.2">
      <c r="B113" s="2"/>
      <c r="G113" s="2"/>
      <c r="H113" s="2"/>
    </row>
    <row r="114" spans="2:8" x14ac:dyDescent="0.2">
      <c r="B114" s="2"/>
      <c r="G114" s="2"/>
      <c r="H114" s="2"/>
    </row>
    <row r="115" spans="2:8" x14ac:dyDescent="0.2">
      <c r="B115" s="2"/>
      <c r="G115" s="2"/>
      <c r="H115" s="2"/>
    </row>
    <row r="116" spans="2:8" x14ac:dyDescent="0.2">
      <c r="B116" s="2"/>
      <c r="G116" s="2"/>
      <c r="H116" s="2"/>
    </row>
    <row r="117" spans="2:8" x14ac:dyDescent="0.2">
      <c r="B117" s="2"/>
      <c r="G117" s="2"/>
      <c r="H117" s="2"/>
    </row>
    <row r="118" spans="2:8" x14ac:dyDescent="0.2">
      <c r="B118" s="2"/>
      <c r="G118" s="2"/>
      <c r="H118" s="2"/>
    </row>
    <row r="119" spans="2:8" x14ac:dyDescent="0.2">
      <c r="B119" s="2"/>
      <c r="G119" s="2"/>
      <c r="H119" s="2"/>
    </row>
    <row r="120" spans="2:8" x14ac:dyDescent="0.2">
      <c r="B120" s="2"/>
      <c r="G120" s="2"/>
      <c r="H120" s="2"/>
    </row>
    <row r="121" spans="2:8" x14ac:dyDescent="0.2">
      <c r="B121" s="2"/>
      <c r="G121" s="2"/>
      <c r="H121" s="2"/>
    </row>
    <row r="122" spans="2:8" x14ac:dyDescent="0.2">
      <c r="B122" s="2"/>
      <c r="G122" s="2"/>
      <c r="H122" s="2"/>
    </row>
    <row r="123" spans="2:8" x14ac:dyDescent="0.2">
      <c r="B123" s="2"/>
      <c r="G123" s="2"/>
      <c r="H123" s="2"/>
    </row>
    <row r="124" spans="2:8" x14ac:dyDescent="0.2">
      <c r="B124" s="2"/>
      <c r="G124" s="2"/>
      <c r="H124" s="2"/>
    </row>
    <row r="125" spans="2:8" x14ac:dyDescent="0.2">
      <c r="B125" s="2"/>
      <c r="G125" s="2"/>
      <c r="H125" s="2"/>
    </row>
    <row r="126" spans="2:8" x14ac:dyDescent="0.2">
      <c r="B126" s="2"/>
      <c r="G126" s="2"/>
      <c r="H126" s="2"/>
    </row>
    <row r="127" spans="2:8" x14ac:dyDescent="0.2">
      <c r="B127" s="2"/>
      <c r="G127" s="2"/>
      <c r="H127" s="2"/>
    </row>
    <row r="128" spans="2:8" x14ac:dyDescent="0.2">
      <c r="B128" s="2"/>
      <c r="G128" s="2"/>
      <c r="H128" s="2"/>
    </row>
    <row r="129" spans="2:8" x14ac:dyDescent="0.2">
      <c r="B129" s="2"/>
      <c r="G129" s="2"/>
      <c r="H129" s="2"/>
    </row>
    <row r="130" spans="2:8" x14ac:dyDescent="0.2">
      <c r="B130" s="2"/>
      <c r="G130" s="2"/>
      <c r="H130" s="2"/>
    </row>
    <row r="131" spans="2:8" x14ac:dyDescent="0.2">
      <c r="B131" s="2"/>
      <c r="G131" s="2"/>
      <c r="H131" s="2"/>
    </row>
    <row r="132" spans="2:8" x14ac:dyDescent="0.2">
      <c r="B132" s="2"/>
      <c r="G132" s="2"/>
      <c r="H132" s="2"/>
    </row>
    <row r="133" spans="2:8" x14ac:dyDescent="0.2">
      <c r="B133" s="2"/>
      <c r="G133" s="2"/>
      <c r="H133" s="2"/>
    </row>
    <row r="134" spans="2:8" x14ac:dyDescent="0.2">
      <c r="B134" s="2"/>
      <c r="G134" s="2"/>
      <c r="H134" s="2"/>
    </row>
    <row r="135" spans="2:8" x14ac:dyDescent="0.2">
      <c r="B135" s="2"/>
      <c r="G135" s="2"/>
      <c r="H135" s="2"/>
    </row>
    <row r="136" spans="2:8" x14ac:dyDescent="0.2">
      <c r="B136" s="2"/>
      <c r="G136" s="2"/>
      <c r="H136" s="2"/>
    </row>
    <row r="137" spans="2:8" x14ac:dyDescent="0.2">
      <c r="B137" s="2"/>
      <c r="G137" s="2"/>
      <c r="H137" s="2"/>
    </row>
    <row r="138" spans="2:8" x14ac:dyDescent="0.2">
      <c r="B138" s="2"/>
      <c r="G138" s="2"/>
      <c r="H138" s="2"/>
    </row>
    <row r="139" spans="2:8" x14ac:dyDescent="0.2">
      <c r="B139" s="2"/>
      <c r="G139" s="2"/>
      <c r="H139" s="2"/>
    </row>
    <row r="140" spans="2:8" x14ac:dyDescent="0.2">
      <c r="B140" s="2"/>
      <c r="G140" s="2"/>
      <c r="H140" s="2"/>
    </row>
    <row r="141" spans="2:8" x14ac:dyDescent="0.2">
      <c r="B141" s="2"/>
      <c r="G141" s="2"/>
      <c r="H141" s="2"/>
    </row>
    <row r="142" spans="2:8" x14ac:dyDescent="0.2">
      <c r="B142" s="2"/>
      <c r="G142" s="2"/>
      <c r="H142" s="2"/>
    </row>
    <row r="143" spans="2:8" x14ac:dyDescent="0.2">
      <c r="B143" s="2"/>
      <c r="G143" s="2"/>
      <c r="H143" s="2"/>
    </row>
    <row r="144" spans="2:8" x14ac:dyDescent="0.2">
      <c r="B144" s="2"/>
      <c r="G144" s="2"/>
      <c r="H144" s="2"/>
    </row>
    <row r="145" spans="2:8" x14ac:dyDescent="0.2">
      <c r="B145" s="2"/>
      <c r="G145" s="2"/>
      <c r="H145" s="2"/>
    </row>
    <row r="146" spans="2:8" x14ac:dyDescent="0.2">
      <c r="B146" s="2"/>
      <c r="G146" s="2"/>
      <c r="H146" s="2"/>
    </row>
    <row r="147" spans="2:8" x14ac:dyDescent="0.2">
      <c r="B147" s="2"/>
      <c r="G147" s="2"/>
      <c r="H147" s="2"/>
    </row>
    <row r="148" spans="2:8" x14ac:dyDescent="0.2">
      <c r="B148" s="2"/>
      <c r="G148" s="2"/>
      <c r="H148" s="2"/>
    </row>
    <row r="149" spans="2:8" x14ac:dyDescent="0.2">
      <c r="B149" s="2"/>
      <c r="G149" s="2"/>
      <c r="H149" s="2"/>
    </row>
    <row r="150" spans="2:8" x14ac:dyDescent="0.2">
      <c r="B150" s="2"/>
      <c r="G150" s="2"/>
      <c r="H150" s="2"/>
    </row>
    <row r="151" spans="2:8" x14ac:dyDescent="0.2">
      <c r="B151" s="2"/>
      <c r="G151" s="2"/>
      <c r="H151" s="2"/>
    </row>
    <row r="152" spans="2:8" x14ac:dyDescent="0.2">
      <c r="B152" s="2"/>
      <c r="G152" s="2"/>
      <c r="H152" s="2"/>
    </row>
    <row r="153" spans="2:8" x14ac:dyDescent="0.2">
      <c r="B153" s="2"/>
      <c r="G153" s="2"/>
      <c r="H153" s="2"/>
    </row>
    <row r="154" spans="2:8" x14ac:dyDescent="0.2">
      <c r="B154" s="2"/>
      <c r="G154" s="2"/>
      <c r="H154" s="2"/>
    </row>
    <row r="155" spans="2:8" x14ac:dyDescent="0.2">
      <c r="B155" s="2"/>
      <c r="G155" s="2"/>
      <c r="H155" s="2"/>
    </row>
    <row r="156" spans="2:8" x14ac:dyDescent="0.2">
      <c r="B156" s="2"/>
      <c r="G156" s="2"/>
      <c r="H156" s="2"/>
    </row>
    <row r="157" spans="2:8" x14ac:dyDescent="0.2">
      <c r="B157" s="2"/>
      <c r="G157" s="2"/>
      <c r="H157" s="2"/>
    </row>
    <row r="158" spans="2:8" x14ac:dyDescent="0.2">
      <c r="B158" s="2"/>
      <c r="G158" s="2"/>
      <c r="H158" s="2"/>
    </row>
    <row r="159" spans="2:8" x14ac:dyDescent="0.2">
      <c r="B159" s="2"/>
      <c r="G159" s="2"/>
      <c r="H159" s="2"/>
    </row>
    <row r="160" spans="2:8" x14ac:dyDescent="0.2">
      <c r="B160" s="2"/>
      <c r="G160" s="2"/>
      <c r="H160" s="2"/>
    </row>
    <row r="161" spans="2:8" x14ac:dyDescent="0.2">
      <c r="B161" s="2"/>
      <c r="G161" s="2"/>
      <c r="H161" s="2"/>
    </row>
    <row r="162" spans="2:8" x14ac:dyDescent="0.2">
      <c r="B162" s="2"/>
      <c r="G162" s="2"/>
      <c r="H162" s="2"/>
    </row>
    <row r="163" spans="2:8" x14ac:dyDescent="0.2">
      <c r="B163" s="2"/>
      <c r="G163" s="2"/>
      <c r="H163" s="2"/>
    </row>
    <row r="164" spans="2:8" x14ac:dyDescent="0.2">
      <c r="B164" s="2"/>
      <c r="G164" s="2"/>
      <c r="H164" s="2"/>
    </row>
    <row r="165" spans="2:8" x14ac:dyDescent="0.2">
      <c r="B165" s="2"/>
      <c r="G165" s="2"/>
      <c r="H165" s="2"/>
    </row>
    <row r="166" spans="2:8" x14ac:dyDescent="0.2">
      <c r="B166" s="2"/>
      <c r="G166" s="2"/>
      <c r="H166" s="2"/>
    </row>
    <row r="167" spans="2:8" x14ac:dyDescent="0.2">
      <c r="B167" s="2"/>
      <c r="G167" s="2"/>
      <c r="H167" s="2"/>
    </row>
    <row r="168" spans="2:8" x14ac:dyDescent="0.2">
      <c r="B168" s="2"/>
      <c r="G168" s="2"/>
      <c r="H168" s="2"/>
    </row>
    <row r="169" spans="2:8" x14ac:dyDescent="0.2">
      <c r="B169" s="2"/>
      <c r="G169" s="2"/>
      <c r="H169" s="2"/>
    </row>
    <row r="170" spans="2:8" x14ac:dyDescent="0.2">
      <c r="B170" s="2"/>
      <c r="G170" s="2"/>
      <c r="H170" s="2"/>
    </row>
    <row r="171" spans="2:8" x14ac:dyDescent="0.2">
      <c r="B171" s="2"/>
      <c r="G171" s="2"/>
      <c r="H171" s="2"/>
    </row>
    <row r="172" spans="2:8" x14ac:dyDescent="0.2">
      <c r="B172" s="2"/>
      <c r="G172" s="2"/>
      <c r="H172" s="2"/>
    </row>
    <row r="173" spans="2:8" x14ac:dyDescent="0.2">
      <c r="B173" s="2"/>
      <c r="G173" s="2"/>
      <c r="H173" s="2"/>
    </row>
    <row r="174" spans="2:8" x14ac:dyDescent="0.2">
      <c r="B174" s="2"/>
      <c r="G174" s="2"/>
      <c r="H174" s="2"/>
    </row>
    <row r="175" spans="2:8" x14ac:dyDescent="0.2">
      <c r="B175" s="2"/>
      <c r="G175" s="2"/>
      <c r="H175" s="2"/>
    </row>
    <row r="176" spans="2:8" x14ac:dyDescent="0.2">
      <c r="B176" s="2"/>
      <c r="G176" s="2"/>
      <c r="H176" s="2"/>
    </row>
    <row r="177" spans="2:8" x14ac:dyDescent="0.2">
      <c r="B177" s="2"/>
      <c r="G177" s="2"/>
      <c r="H177" s="2"/>
    </row>
    <row r="178" spans="2:8" x14ac:dyDescent="0.2">
      <c r="B178" s="2"/>
      <c r="G178" s="2"/>
      <c r="H178" s="2"/>
    </row>
    <row r="179" spans="2:8" x14ac:dyDescent="0.2">
      <c r="B179" s="2"/>
      <c r="G179" s="2"/>
      <c r="H179" s="2"/>
    </row>
    <row r="180" spans="2:8" x14ac:dyDescent="0.2">
      <c r="B180" s="2"/>
      <c r="G180" s="2"/>
      <c r="H180" s="2"/>
    </row>
    <row r="181" spans="2:8" x14ac:dyDescent="0.2">
      <c r="B181" s="2"/>
      <c r="G181" s="2"/>
      <c r="H181" s="2"/>
    </row>
    <row r="182" spans="2:8" x14ac:dyDescent="0.2">
      <c r="B182" s="2"/>
      <c r="G182" s="2"/>
      <c r="H182" s="2"/>
    </row>
    <row r="183" spans="2:8" x14ac:dyDescent="0.2">
      <c r="B183" s="2"/>
      <c r="G183" s="2"/>
      <c r="H183" s="2"/>
    </row>
    <row r="184" spans="2:8" x14ac:dyDescent="0.2">
      <c r="B184" s="2"/>
      <c r="G184" s="2"/>
      <c r="H184" s="2"/>
    </row>
    <row r="185" spans="2:8" x14ac:dyDescent="0.2">
      <c r="B185" s="2"/>
      <c r="G185" s="2"/>
      <c r="H185" s="2"/>
    </row>
    <row r="186" spans="2:8" x14ac:dyDescent="0.2">
      <c r="B186" s="2"/>
      <c r="G186" s="2"/>
      <c r="H186" s="2"/>
    </row>
    <row r="187" spans="2:8" x14ac:dyDescent="0.2">
      <c r="B187" s="2"/>
      <c r="G187" s="2"/>
      <c r="H187" s="2"/>
    </row>
    <row r="188" spans="2:8" x14ac:dyDescent="0.2">
      <c r="B188" s="2"/>
      <c r="G188" s="2"/>
      <c r="H188" s="2"/>
    </row>
    <row r="189" spans="2:8" x14ac:dyDescent="0.2">
      <c r="B189" s="2"/>
      <c r="G189" s="2"/>
      <c r="H189" s="2"/>
    </row>
    <row r="190" spans="2:8" x14ac:dyDescent="0.2">
      <c r="B190" s="2"/>
      <c r="G190" s="2"/>
      <c r="H190" s="2"/>
    </row>
    <row r="191" spans="2:8" x14ac:dyDescent="0.2">
      <c r="B191" s="2"/>
      <c r="G191" s="2"/>
      <c r="H191" s="2"/>
    </row>
    <row r="192" spans="2:8" x14ac:dyDescent="0.2">
      <c r="B192" s="2"/>
      <c r="G192" s="2"/>
      <c r="H192" s="2"/>
    </row>
    <row r="193" spans="2:8" x14ac:dyDescent="0.2">
      <c r="B193" s="2"/>
      <c r="G193" s="2"/>
      <c r="H193" s="2"/>
    </row>
    <row r="194" spans="2:8" x14ac:dyDescent="0.2">
      <c r="B194" s="2"/>
      <c r="G194" s="2"/>
      <c r="H194" s="2"/>
    </row>
    <row r="195" spans="2:8" x14ac:dyDescent="0.2">
      <c r="B195" s="2"/>
      <c r="G195" s="2"/>
      <c r="H195" s="2"/>
    </row>
    <row r="196" spans="2:8" x14ac:dyDescent="0.2">
      <c r="B196" s="2"/>
      <c r="G196" s="2"/>
      <c r="H196" s="2"/>
    </row>
    <row r="197" spans="2:8" x14ac:dyDescent="0.2">
      <c r="B197" s="2"/>
      <c r="G197" s="2"/>
      <c r="H197" s="2"/>
    </row>
    <row r="198" spans="2:8" x14ac:dyDescent="0.2">
      <c r="B198" s="2"/>
      <c r="G198" s="2"/>
      <c r="H198" s="2"/>
    </row>
    <row r="199" spans="2:8" x14ac:dyDescent="0.2">
      <c r="B199" s="2"/>
      <c r="G199" s="2"/>
      <c r="H199" s="2"/>
    </row>
    <row r="200" spans="2:8" x14ac:dyDescent="0.2">
      <c r="B200" s="2"/>
      <c r="G200" s="2"/>
      <c r="H200" s="2"/>
    </row>
    <row r="201" spans="2:8" x14ac:dyDescent="0.2">
      <c r="B201" s="2"/>
      <c r="G201" s="2"/>
      <c r="H201" s="2"/>
    </row>
    <row r="202" spans="2:8" x14ac:dyDescent="0.2">
      <c r="B202" s="2"/>
      <c r="G202" s="2"/>
      <c r="H202" s="2"/>
    </row>
    <row r="203" spans="2:8" x14ac:dyDescent="0.2">
      <c r="B203" s="2"/>
      <c r="G203" s="2"/>
      <c r="H203" s="2"/>
    </row>
    <row r="204" spans="2:8" x14ac:dyDescent="0.2">
      <c r="B204" s="2"/>
      <c r="G204" s="2"/>
      <c r="H204" s="2"/>
    </row>
    <row r="205" spans="2:8" x14ac:dyDescent="0.2">
      <c r="B205" s="2"/>
      <c r="G205" s="2"/>
      <c r="H205" s="2"/>
    </row>
    <row r="206" spans="2:8" x14ac:dyDescent="0.2">
      <c r="B206" s="2"/>
      <c r="G206" s="2"/>
      <c r="H206" s="2"/>
    </row>
    <row r="207" spans="2:8" x14ac:dyDescent="0.2">
      <c r="B207" s="2"/>
      <c r="G207" s="2"/>
      <c r="H207" s="2"/>
    </row>
    <row r="208" spans="2:8" x14ac:dyDescent="0.2">
      <c r="B208" s="2"/>
      <c r="G208" s="2"/>
      <c r="H208" s="2"/>
    </row>
    <row r="209" spans="2:8" x14ac:dyDescent="0.2">
      <c r="B209" s="2"/>
      <c r="G209" s="2"/>
      <c r="H209" s="2"/>
    </row>
    <row r="210" spans="2:8" x14ac:dyDescent="0.2">
      <c r="B210" s="2"/>
      <c r="G210" s="2"/>
      <c r="H210" s="2"/>
    </row>
    <row r="211" spans="2:8" x14ac:dyDescent="0.2">
      <c r="B211" s="2"/>
      <c r="G211" s="2"/>
      <c r="H211" s="2"/>
    </row>
    <row r="212" spans="2:8" x14ac:dyDescent="0.2">
      <c r="B212" s="2"/>
      <c r="G212" s="2"/>
      <c r="H212" s="2"/>
    </row>
    <row r="213" spans="2:8" x14ac:dyDescent="0.2">
      <c r="B213" s="2"/>
      <c r="G213" s="2"/>
      <c r="H213" s="2"/>
    </row>
    <row r="214" spans="2:8" x14ac:dyDescent="0.2">
      <c r="B214" s="2"/>
      <c r="G214" s="2"/>
      <c r="H214" s="2"/>
    </row>
    <row r="215" spans="2:8" x14ac:dyDescent="0.2">
      <c r="B215" s="2"/>
      <c r="G215" s="2"/>
      <c r="H215" s="2"/>
    </row>
    <row r="216" spans="2:8" x14ac:dyDescent="0.2">
      <c r="B216" s="2"/>
      <c r="G216" s="2"/>
      <c r="H216" s="2"/>
    </row>
    <row r="217" spans="2:8" x14ac:dyDescent="0.2">
      <c r="B217" s="2"/>
      <c r="G217" s="2"/>
      <c r="H217" s="2"/>
    </row>
    <row r="218" spans="2:8" x14ac:dyDescent="0.2">
      <c r="B218" s="2"/>
      <c r="G218" s="2"/>
      <c r="H218" s="2"/>
    </row>
    <row r="219" spans="2:8" x14ac:dyDescent="0.2">
      <c r="B219" s="2"/>
      <c r="G219" s="2"/>
      <c r="H219" s="2"/>
    </row>
    <row r="220" spans="2:8" x14ac:dyDescent="0.2">
      <c r="B220" s="2"/>
      <c r="G220" s="2"/>
      <c r="H220" s="2"/>
    </row>
    <row r="221" spans="2:8" x14ac:dyDescent="0.2">
      <c r="B221" s="2"/>
      <c r="G221" s="2"/>
      <c r="H221" s="2"/>
    </row>
    <row r="222" spans="2:8" x14ac:dyDescent="0.2">
      <c r="B222" s="2"/>
      <c r="G222" s="2"/>
      <c r="H222" s="2"/>
    </row>
    <row r="223" spans="2:8" x14ac:dyDescent="0.2">
      <c r="B223" s="2"/>
      <c r="G223" s="2"/>
      <c r="H223" s="2"/>
    </row>
    <row r="224" spans="2:8" x14ac:dyDescent="0.2">
      <c r="B224" s="2"/>
      <c r="G224" s="2"/>
      <c r="H224" s="2"/>
    </row>
    <row r="225" spans="2:8" x14ac:dyDescent="0.2">
      <c r="B225" s="2"/>
      <c r="G225" s="2"/>
      <c r="H225" s="2"/>
    </row>
    <row r="226" spans="2:8" x14ac:dyDescent="0.2">
      <c r="B226" s="2"/>
      <c r="G226" s="2"/>
      <c r="H226" s="2"/>
    </row>
    <row r="227" spans="2:8" x14ac:dyDescent="0.2">
      <c r="B227" s="2"/>
      <c r="G227" s="2"/>
      <c r="H227" s="2"/>
    </row>
    <row r="228" spans="2:8" x14ac:dyDescent="0.2">
      <c r="B228" s="2"/>
      <c r="G228" s="2"/>
      <c r="H228" s="2"/>
    </row>
    <row r="229" spans="2:8" x14ac:dyDescent="0.2">
      <c r="B229" s="2"/>
      <c r="G229" s="2"/>
      <c r="H229" s="2"/>
    </row>
    <row r="230" spans="2:8" x14ac:dyDescent="0.2">
      <c r="B230" s="2"/>
      <c r="G230" s="2"/>
      <c r="H230" s="2"/>
    </row>
    <row r="231" spans="2:8" x14ac:dyDescent="0.2">
      <c r="B231" s="2"/>
      <c r="G231" s="2"/>
      <c r="H231" s="2"/>
    </row>
    <row r="232" spans="2:8" x14ac:dyDescent="0.2">
      <c r="B232" s="2"/>
      <c r="G232" s="2"/>
      <c r="H232" s="2"/>
    </row>
    <row r="233" spans="2:8" x14ac:dyDescent="0.2">
      <c r="B233" s="2"/>
      <c r="G233" s="2"/>
      <c r="H233" s="2"/>
    </row>
    <row r="234" spans="2:8" x14ac:dyDescent="0.2">
      <c r="B234" s="2"/>
      <c r="G234" s="2"/>
      <c r="H234" s="2"/>
    </row>
    <row r="235" spans="2:8" x14ac:dyDescent="0.2">
      <c r="B235" s="2"/>
      <c r="G235" s="2"/>
      <c r="H235" s="2"/>
    </row>
    <row r="236" spans="2:8" x14ac:dyDescent="0.2">
      <c r="B236" s="2"/>
      <c r="G236" s="2"/>
      <c r="H236" s="2"/>
    </row>
    <row r="237" spans="2:8" x14ac:dyDescent="0.2">
      <c r="B237" s="2"/>
      <c r="G237" s="2"/>
      <c r="H237" s="2"/>
    </row>
    <row r="238" spans="2:8" x14ac:dyDescent="0.2">
      <c r="B238" s="2"/>
      <c r="G238" s="2"/>
      <c r="H238" s="2"/>
    </row>
    <row r="239" spans="2:8" x14ac:dyDescent="0.2">
      <c r="B239" s="2"/>
      <c r="G239" s="2"/>
      <c r="H239" s="2"/>
    </row>
    <row r="240" spans="2:8" x14ac:dyDescent="0.2">
      <c r="B240" s="2"/>
      <c r="G240" s="2"/>
      <c r="H240" s="2"/>
    </row>
    <row r="241" spans="2:8" x14ac:dyDescent="0.2">
      <c r="B241" s="2"/>
      <c r="G241" s="2"/>
      <c r="H241" s="2"/>
    </row>
    <row r="242" spans="2:8" x14ac:dyDescent="0.2">
      <c r="B242" s="2"/>
      <c r="G242" s="2"/>
      <c r="H242" s="2"/>
    </row>
    <row r="243" spans="2:8" x14ac:dyDescent="0.2">
      <c r="B243" s="2"/>
      <c r="G243" s="2"/>
      <c r="H243" s="2"/>
    </row>
    <row r="244" spans="2:8" x14ac:dyDescent="0.2">
      <c r="B244" s="2"/>
      <c r="G244" s="2"/>
      <c r="H244" s="2"/>
    </row>
    <row r="245" spans="2:8" x14ac:dyDescent="0.2">
      <c r="B245" s="2"/>
      <c r="G245" s="2"/>
      <c r="H245" s="2"/>
    </row>
    <row r="246" spans="2:8" x14ac:dyDescent="0.2">
      <c r="B246" s="2"/>
      <c r="G246" s="2"/>
      <c r="H246" s="2"/>
    </row>
    <row r="247" spans="2:8" x14ac:dyDescent="0.2">
      <c r="B247" s="2"/>
      <c r="G247" s="2"/>
      <c r="H247" s="2"/>
    </row>
    <row r="248" spans="2:8" x14ac:dyDescent="0.2">
      <c r="B248" s="2"/>
      <c r="G248" s="2"/>
      <c r="H248" s="2"/>
    </row>
    <row r="249" spans="2:8" x14ac:dyDescent="0.2">
      <c r="B249" s="2"/>
      <c r="G249" s="2"/>
      <c r="H249" s="2"/>
    </row>
    <row r="250" spans="2:8" x14ac:dyDescent="0.2">
      <c r="B250" s="2"/>
      <c r="G250" s="2"/>
      <c r="H250" s="2"/>
    </row>
    <row r="251" spans="2:8" x14ac:dyDescent="0.2">
      <c r="B251" s="2"/>
      <c r="G251" s="2"/>
      <c r="H251" s="2"/>
    </row>
    <row r="252" spans="2:8" x14ac:dyDescent="0.2">
      <c r="B252" s="2"/>
      <c r="G252" s="2"/>
      <c r="H252" s="2"/>
    </row>
    <row r="253" spans="2:8" x14ac:dyDescent="0.2">
      <c r="B253" s="2"/>
      <c r="G253" s="2"/>
      <c r="H253" s="2"/>
    </row>
    <row r="254" spans="2:8" x14ac:dyDescent="0.2">
      <c r="B254" s="2"/>
      <c r="G254" s="2"/>
      <c r="H254" s="2"/>
    </row>
    <row r="255" spans="2:8" x14ac:dyDescent="0.2">
      <c r="B255" s="2"/>
      <c r="G255" s="2"/>
      <c r="H255" s="2"/>
    </row>
    <row r="256" spans="2:8" x14ac:dyDescent="0.2">
      <c r="B256" s="2"/>
      <c r="G256" s="2"/>
      <c r="H256" s="2"/>
    </row>
    <row r="257" spans="2:8" x14ac:dyDescent="0.2">
      <c r="B257" s="2"/>
      <c r="G257" s="2"/>
      <c r="H257" s="2"/>
    </row>
    <row r="258" spans="2:8" x14ac:dyDescent="0.2">
      <c r="B258" s="2"/>
      <c r="G258" s="2"/>
      <c r="H258" s="2"/>
    </row>
    <row r="259" spans="2:8" x14ac:dyDescent="0.2">
      <c r="B259" s="2"/>
      <c r="G259" s="2"/>
      <c r="H259" s="2"/>
    </row>
    <row r="260" spans="2:8" x14ac:dyDescent="0.2">
      <c r="B260" s="2"/>
      <c r="G260" s="2"/>
      <c r="H260" s="2"/>
    </row>
    <row r="261" spans="2:8" x14ac:dyDescent="0.2">
      <c r="B261" s="2"/>
      <c r="G261" s="2"/>
      <c r="H261" s="2"/>
    </row>
    <row r="262" spans="2:8" x14ac:dyDescent="0.2">
      <c r="B262" s="2"/>
      <c r="G262" s="2"/>
      <c r="H262" s="2"/>
    </row>
    <row r="263" spans="2:8" x14ac:dyDescent="0.2">
      <c r="B263" s="2"/>
      <c r="G263" s="2"/>
      <c r="H263" s="2"/>
    </row>
    <row r="264" spans="2:8" x14ac:dyDescent="0.2">
      <c r="B264" s="2"/>
      <c r="G264" s="2"/>
      <c r="H264" s="2"/>
    </row>
    <row r="265" spans="2:8" x14ac:dyDescent="0.2">
      <c r="B265" s="2"/>
      <c r="G265" s="2"/>
      <c r="H265" s="2"/>
    </row>
    <row r="266" spans="2:8" x14ac:dyDescent="0.2">
      <c r="B266" s="2"/>
      <c r="G266" s="2"/>
      <c r="H266" s="2"/>
    </row>
    <row r="267" spans="2:8" x14ac:dyDescent="0.2">
      <c r="B267" s="2"/>
      <c r="G267" s="2"/>
      <c r="H267" s="2"/>
    </row>
    <row r="268" spans="2:8" x14ac:dyDescent="0.2">
      <c r="B268" s="2"/>
      <c r="G268" s="2"/>
      <c r="H268" s="2"/>
    </row>
    <row r="269" spans="2:8" x14ac:dyDescent="0.2">
      <c r="B269" s="2"/>
      <c r="G269" s="2"/>
      <c r="H269" s="2"/>
    </row>
    <row r="270" spans="2:8" x14ac:dyDescent="0.2">
      <c r="B270" s="2"/>
      <c r="G270" s="2"/>
      <c r="H270" s="2"/>
    </row>
    <row r="271" spans="2:8" x14ac:dyDescent="0.2">
      <c r="B271" s="2"/>
      <c r="G271" s="2"/>
      <c r="H271" s="2"/>
    </row>
    <row r="272" spans="2:8" x14ac:dyDescent="0.2">
      <c r="B272" s="2"/>
      <c r="G272" s="2"/>
      <c r="H272" s="2"/>
    </row>
    <row r="273" spans="2:8" x14ac:dyDescent="0.2">
      <c r="B273" s="2"/>
      <c r="G273" s="2"/>
      <c r="H273" s="2"/>
    </row>
    <row r="274" spans="2:8" x14ac:dyDescent="0.2">
      <c r="B274" s="2"/>
      <c r="G274" s="2"/>
      <c r="H274" s="2"/>
    </row>
    <row r="275" spans="2:8" x14ac:dyDescent="0.2">
      <c r="B275" s="2"/>
      <c r="G275" s="2"/>
      <c r="H275" s="2"/>
    </row>
    <row r="276" spans="2:8" x14ac:dyDescent="0.2">
      <c r="B276" s="2"/>
      <c r="G276" s="2"/>
      <c r="H276" s="2"/>
    </row>
    <row r="277" spans="2:8" x14ac:dyDescent="0.2">
      <c r="B277" s="2"/>
      <c r="G277" s="2"/>
      <c r="H277" s="2"/>
    </row>
    <row r="278" spans="2:8" x14ac:dyDescent="0.2">
      <c r="B278" s="2"/>
      <c r="G278" s="2"/>
      <c r="H278" s="2"/>
    </row>
    <row r="279" spans="2:8" x14ac:dyDescent="0.2">
      <c r="B279" s="2"/>
      <c r="G279" s="2"/>
      <c r="H279" s="2"/>
    </row>
    <row r="280" spans="2:8" x14ac:dyDescent="0.2">
      <c r="B280" s="2"/>
      <c r="G280" s="2"/>
      <c r="H280" s="2"/>
    </row>
    <row r="281" spans="2:8" x14ac:dyDescent="0.2">
      <c r="B281" s="2"/>
      <c r="G281" s="2"/>
      <c r="H281" s="2"/>
    </row>
    <row r="282" spans="2:8" x14ac:dyDescent="0.2">
      <c r="B282" s="2"/>
      <c r="G282" s="2"/>
      <c r="H282" s="2"/>
    </row>
    <row r="283" spans="2:8" x14ac:dyDescent="0.2">
      <c r="B283" s="2"/>
      <c r="G283" s="2"/>
      <c r="H283" s="2"/>
    </row>
    <row r="284" spans="2:8" x14ac:dyDescent="0.2">
      <c r="B284" s="2"/>
      <c r="G284" s="2"/>
      <c r="H284" s="2"/>
    </row>
    <row r="285" spans="2:8" x14ac:dyDescent="0.2">
      <c r="B285" s="2"/>
      <c r="G285" s="2"/>
      <c r="H285" s="2"/>
    </row>
    <row r="286" spans="2:8" x14ac:dyDescent="0.2">
      <c r="B286" s="2"/>
      <c r="G286" s="2"/>
      <c r="H286" s="2"/>
    </row>
    <row r="287" spans="2:8" x14ac:dyDescent="0.2">
      <c r="B287" s="2"/>
      <c r="G287" s="2"/>
      <c r="H287" s="2"/>
    </row>
    <row r="288" spans="2:8" x14ac:dyDescent="0.2">
      <c r="B288" s="2"/>
      <c r="G288" s="2"/>
      <c r="H288" s="2"/>
    </row>
    <row r="289" spans="2:8" x14ac:dyDescent="0.2">
      <c r="B289" s="2"/>
      <c r="G289" s="2"/>
      <c r="H289" s="2"/>
    </row>
    <row r="290" spans="2:8" x14ac:dyDescent="0.2">
      <c r="B290" s="2"/>
      <c r="G290" s="2"/>
      <c r="H290" s="2"/>
    </row>
    <row r="291" spans="2:8" x14ac:dyDescent="0.2">
      <c r="B291" s="2"/>
      <c r="G291" s="2"/>
      <c r="H291" s="2"/>
    </row>
    <row r="292" spans="2:8" x14ac:dyDescent="0.2">
      <c r="B292" s="2"/>
      <c r="G292" s="2"/>
      <c r="H292" s="2"/>
    </row>
    <row r="293" spans="2:8" x14ac:dyDescent="0.2">
      <c r="B293" s="2"/>
      <c r="G293" s="2"/>
      <c r="H293" s="2"/>
    </row>
    <row r="294" spans="2:8" x14ac:dyDescent="0.2">
      <c r="B294" s="2"/>
      <c r="G294" s="2"/>
      <c r="H294" s="2"/>
    </row>
    <row r="295" spans="2:8" x14ac:dyDescent="0.2">
      <c r="B295" s="2"/>
      <c r="G295" s="2"/>
      <c r="H295" s="2"/>
    </row>
    <row r="296" spans="2:8" x14ac:dyDescent="0.2">
      <c r="B296" s="2"/>
      <c r="G296" s="2"/>
      <c r="H296" s="2"/>
    </row>
    <row r="297" spans="2:8" x14ac:dyDescent="0.2">
      <c r="B297" s="2"/>
      <c r="G297" s="2"/>
      <c r="H297" s="2"/>
    </row>
    <row r="298" spans="2:8" x14ac:dyDescent="0.2">
      <c r="B298" s="2"/>
      <c r="G298" s="2"/>
      <c r="H298" s="2"/>
    </row>
    <row r="299" spans="2:8" x14ac:dyDescent="0.2">
      <c r="B299" s="2"/>
      <c r="G299" s="2"/>
      <c r="H299" s="2"/>
    </row>
    <row r="300" spans="2:8" x14ac:dyDescent="0.2">
      <c r="B300" s="2"/>
      <c r="G300" s="2"/>
      <c r="H300" s="2"/>
    </row>
    <row r="301" spans="2:8" x14ac:dyDescent="0.2">
      <c r="B301" s="2"/>
      <c r="G301" s="2"/>
      <c r="H301" s="2"/>
    </row>
    <row r="302" spans="2:8" x14ac:dyDescent="0.2">
      <c r="B302" s="2"/>
      <c r="G302" s="2"/>
      <c r="H302" s="2"/>
    </row>
    <row r="303" spans="2:8" x14ac:dyDescent="0.2">
      <c r="B303" s="2"/>
      <c r="G303" s="2"/>
      <c r="H303" s="2"/>
    </row>
    <row r="304" spans="2:8" x14ac:dyDescent="0.2">
      <c r="B304" s="2"/>
      <c r="G304" s="2"/>
      <c r="H304" s="2"/>
    </row>
    <row r="305" spans="2:8" x14ac:dyDescent="0.2">
      <c r="B305" s="2"/>
      <c r="G305" s="2"/>
      <c r="H305" s="2"/>
    </row>
    <row r="306" spans="2:8" x14ac:dyDescent="0.2">
      <c r="B306" s="2"/>
      <c r="G306" s="2"/>
      <c r="H306" s="2"/>
    </row>
    <row r="307" spans="2:8" x14ac:dyDescent="0.2">
      <c r="B307" s="2"/>
      <c r="G307" s="2"/>
      <c r="H307" s="2"/>
    </row>
    <row r="308" spans="2:8" x14ac:dyDescent="0.2">
      <c r="B308" s="2"/>
      <c r="G308" s="2"/>
      <c r="H308" s="2"/>
    </row>
    <row r="309" spans="2:8" x14ac:dyDescent="0.2">
      <c r="B309" s="2"/>
      <c r="G309" s="2"/>
      <c r="H309" s="2"/>
    </row>
    <row r="310" spans="2:8" x14ac:dyDescent="0.2">
      <c r="B310" s="2"/>
      <c r="G310" s="2"/>
      <c r="H310" s="2"/>
    </row>
    <row r="311" spans="2:8" x14ac:dyDescent="0.2">
      <c r="B311" s="2"/>
      <c r="G311" s="2"/>
      <c r="H311" s="2"/>
    </row>
    <row r="312" spans="2:8" x14ac:dyDescent="0.2">
      <c r="B312" s="2"/>
      <c r="G312" s="2"/>
      <c r="H312" s="2"/>
    </row>
    <row r="313" spans="2:8" x14ac:dyDescent="0.2">
      <c r="B313" s="2"/>
      <c r="G313" s="2"/>
      <c r="H313" s="2"/>
    </row>
    <row r="314" spans="2:8" x14ac:dyDescent="0.2">
      <c r="B314" s="2"/>
      <c r="G314" s="2"/>
      <c r="H314" s="2"/>
    </row>
    <row r="315" spans="2:8" x14ac:dyDescent="0.2">
      <c r="B315" s="2"/>
      <c r="G315" s="2"/>
      <c r="H315" s="2"/>
    </row>
    <row r="316" spans="2:8" x14ac:dyDescent="0.2">
      <c r="B316" s="2"/>
      <c r="G316" s="2"/>
      <c r="H316" s="2"/>
    </row>
    <row r="317" spans="2:8" x14ac:dyDescent="0.2">
      <c r="B317" s="2"/>
      <c r="G317" s="2"/>
      <c r="H317" s="2"/>
    </row>
    <row r="318" spans="2:8" x14ac:dyDescent="0.2">
      <c r="B318" s="2"/>
      <c r="G318" s="2"/>
      <c r="H318" s="2"/>
    </row>
    <row r="319" spans="2:8" x14ac:dyDescent="0.2">
      <c r="B319" s="2"/>
      <c r="G319" s="2"/>
      <c r="H319" s="2"/>
    </row>
    <row r="320" spans="2:8" x14ac:dyDescent="0.2">
      <c r="B320" s="2"/>
      <c r="G320" s="2"/>
      <c r="H320" s="2"/>
    </row>
    <row r="321" spans="2:8" x14ac:dyDescent="0.2">
      <c r="B321" s="2"/>
      <c r="G321" s="2"/>
      <c r="H321" s="2"/>
    </row>
    <row r="322" spans="2:8" x14ac:dyDescent="0.2">
      <c r="B322" s="2"/>
      <c r="G322" s="2"/>
      <c r="H322" s="2"/>
    </row>
    <row r="323" spans="2:8" x14ac:dyDescent="0.2">
      <c r="B323" s="2"/>
      <c r="G323" s="2"/>
      <c r="H323" s="2"/>
    </row>
    <row r="324" spans="2:8" x14ac:dyDescent="0.2">
      <c r="B324" s="2"/>
      <c r="G324" s="2"/>
      <c r="H324" s="2"/>
    </row>
    <row r="325" spans="2:8" x14ac:dyDescent="0.2">
      <c r="B325" s="2"/>
      <c r="G325" s="2"/>
      <c r="H325" s="2"/>
    </row>
    <row r="326" spans="2:8" x14ac:dyDescent="0.2">
      <c r="B326" s="2"/>
      <c r="G326" s="2"/>
      <c r="H326" s="2"/>
    </row>
    <row r="327" spans="2:8" x14ac:dyDescent="0.2">
      <c r="B327" s="2"/>
      <c r="G327" s="2"/>
      <c r="H327" s="2"/>
    </row>
    <row r="328" spans="2:8" x14ac:dyDescent="0.2">
      <c r="B328" s="2"/>
      <c r="G328" s="2"/>
      <c r="H328" s="2"/>
    </row>
    <row r="329" spans="2:8" x14ac:dyDescent="0.2">
      <c r="B329" s="2"/>
      <c r="G329" s="2"/>
      <c r="H329" s="2"/>
    </row>
    <row r="330" spans="2:8" x14ac:dyDescent="0.2">
      <c r="B330" s="2"/>
      <c r="G330" s="2"/>
      <c r="H330" s="2"/>
    </row>
    <row r="331" spans="2:8" x14ac:dyDescent="0.2">
      <c r="B331" s="2"/>
      <c r="G331" s="2"/>
      <c r="H331" s="2"/>
    </row>
    <row r="332" spans="2:8" x14ac:dyDescent="0.2">
      <c r="B332" s="2"/>
      <c r="G332" s="2"/>
      <c r="H332" s="2"/>
    </row>
    <row r="333" spans="2:8" x14ac:dyDescent="0.2">
      <c r="B333" s="2"/>
      <c r="G333" s="2"/>
      <c r="H333" s="2"/>
    </row>
    <row r="334" spans="2:8" x14ac:dyDescent="0.2">
      <c r="B334" s="2"/>
      <c r="G334" s="2"/>
      <c r="H334" s="2"/>
    </row>
    <row r="335" spans="2:8" x14ac:dyDescent="0.2">
      <c r="B335" s="2"/>
      <c r="G335" s="2"/>
      <c r="H335" s="2"/>
    </row>
    <row r="336" spans="2:8" x14ac:dyDescent="0.2">
      <c r="B336" s="2"/>
      <c r="G336" s="2"/>
      <c r="H336" s="2"/>
    </row>
    <row r="337" spans="2:8" x14ac:dyDescent="0.2">
      <c r="B337" s="2"/>
      <c r="G337" s="2"/>
      <c r="H337" s="2"/>
    </row>
    <row r="338" spans="2:8" x14ac:dyDescent="0.2">
      <c r="B338" s="2"/>
      <c r="G338" s="2"/>
      <c r="H338" s="2"/>
    </row>
    <row r="339" spans="2:8" x14ac:dyDescent="0.2">
      <c r="B339" s="2"/>
      <c r="G339" s="2"/>
      <c r="H339" s="2"/>
    </row>
    <row r="340" spans="2:8" x14ac:dyDescent="0.2">
      <c r="B340" s="2"/>
      <c r="G340" s="2"/>
      <c r="H340" s="2"/>
    </row>
    <row r="341" spans="2:8" x14ac:dyDescent="0.2">
      <c r="B341" s="2"/>
      <c r="G341" s="2"/>
      <c r="H341" s="2"/>
    </row>
    <row r="342" spans="2:8" x14ac:dyDescent="0.2">
      <c r="B342" s="2"/>
      <c r="G342" s="2"/>
      <c r="H342" s="2"/>
    </row>
    <row r="343" spans="2:8" x14ac:dyDescent="0.2">
      <c r="B343" s="2"/>
      <c r="G343" s="2"/>
      <c r="H343" s="2"/>
    </row>
    <row r="344" spans="2:8" x14ac:dyDescent="0.2">
      <c r="B344" s="2"/>
      <c r="G344" s="2"/>
      <c r="H344" s="2"/>
    </row>
    <row r="345" spans="2:8" x14ac:dyDescent="0.2">
      <c r="B345" s="2"/>
      <c r="G345" s="2"/>
      <c r="H345" s="2"/>
    </row>
    <row r="346" spans="2:8" x14ac:dyDescent="0.2">
      <c r="B346" s="2"/>
      <c r="G346" s="2"/>
      <c r="H346" s="2"/>
    </row>
    <row r="347" spans="2:8" x14ac:dyDescent="0.2">
      <c r="B347" s="2"/>
      <c r="G347" s="2"/>
      <c r="H347" s="2"/>
    </row>
    <row r="348" spans="2:8" x14ac:dyDescent="0.2">
      <c r="B348" s="2"/>
      <c r="G348" s="2"/>
      <c r="H348" s="2"/>
    </row>
    <row r="349" spans="2:8" x14ac:dyDescent="0.2">
      <c r="B349" s="2"/>
      <c r="G349" s="2"/>
      <c r="H349" s="2"/>
    </row>
    <row r="350" spans="2:8" x14ac:dyDescent="0.2">
      <c r="B350" s="2"/>
      <c r="G350" s="2"/>
      <c r="H350" s="2"/>
    </row>
    <row r="351" spans="2:8" x14ac:dyDescent="0.2">
      <c r="B351" s="2"/>
      <c r="G351" s="2"/>
      <c r="H351" s="2"/>
    </row>
    <row r="352" spans="2:8" x14ac:dyDescent="0.2">
      <c r="B352" s="2"/>
      <c r="G352" s="2"/>
      <c r="H352" s="2"/>
    </row>
    <row r="353" spans="2:8" x14ac:dyDescent="0.2">
      <c r="B353" s="2"/>
      <c r="G353" s="2"/>
      <c r="H353" s="2"/>
    </row>
    <row r="354" spans="2:8" x14ac:dyDescent="0.2">
      <c r="B354" s="2"/>
      <c r="G354" s="2"/>
      <c r="H354" s="2"/>
    </row>
    <row r="355" spans="2:8" x14ac:dyDescent="0.2">
      <c r="B355" s="2"/>
      <c r="G355" s="2"/>
      <c r="H355" s="2"/>
    </row>
    <row r="356" spans="2:8" x14ac:dyDescent="0.2">
      <c r="B356" s="2"/>
      <c r="G356" s="2"/>
      <c r="H356" s="2"/>
    </row>
    <row r="357" spans="2:8" x14ac:dyDescent="0.2">
      <c r="B357" s="2"/>
      <c r="G357" s="2"/>
      <c r="H357" s="2"/>
    </row>
    <row r="358" spans="2:8" x14ac:dyDescent="0.2">
      <c r="B358" s="2"/>
      <c r="G358" s="2"/>
      <c r="H358" s="2"/>
    </row>
    <row r="359" spans="2:8" x14ac:dyDescent="0.2">
      <c r="B359" s="2"/>
      <c r="G359" s="2"/>
      <c r="H359" s="2"/>
    </row>
    <row r="360" spans="2:8" x14ac:dyDescent="0.2">
      <c r="B360" s="2"/>
      <c r="G360" s="2"/>
      <c r="H360" s="2"/>
    </row>
    <row r="361" spans="2:8" x14ac:dyDescent="0.2">
      <c r="B361" s="2"/>
      <c r="G361" s="2"/>
      <c r="H361" s="2"/>
    </row>
    <row r="362" spans="2:8" x14ac:dyDescent="0.2">
      <c r="B362" s="2"/>
      <c r="G362" s="2"/>
      <c r="H362" s="2"/>
    </row>
    <row r="363" spans="2:8" x14ac:dyDescent="0.2">
      <c r="B363" s="2"/>
      <c r="G363" s="2"/>
      <c r="H363" s="2"/>
    </row>
    <row r="364" spans="2:8" x14ac:dyDescent="0.2">
      <c r="B364" s="2"/>
      <c r="G364" s="2"/>
      <c r="H364" s="2"/>
    </row>
    <row r="365" spans="2:8" x14ac:dyDescent="0.2">
      <c r="B365" s="2"/>
      <c r="G365" s="2"/>
      <c r="H365" s="2"/>
    </row>
    <row r="366" spans="2:8" x14ac:dyDescent="0.2">
      <c r="B366" s="2"/>
      <c r="G366" s="2"/>
      <c r="H366" s="2"/>
    </row>
    <row r="367" spans="2:8" x14ac:dyDescent="0.2">
      <c r="B367" s="2"/>
      <c r="G367" s="2"/>
      <c r="H367" s="2"/>
    </row>
    <row r="368" spans="2:8" x14ac:dyDescent="0.2">
      <c r="B368" s="2"/>
      <c r="G368" s="2"/>
      <c r="H368" s="2"/>
    </row>
    <row r="369" spans="2:8" x14ac:dyDescent="0.2">
      <c r="B369" s="2"/>
      <c r="G369" s="2"/>
      <c r="H369" s="2"/>
    </row>
    <row r="370" spans="2:8" x14ac:dyDescent="0.2">
      <c r="B370" s="2"/>
      <c r="G370" s="2"/>
      <c r="H370" s="2"/>
    </row>
    <row r="371" spans="2:8" x14ac:dyDescent="0.2">
      <c r="B371" s="2"/>
      <c r="G371" s="2"/>
      <c r="H371" s="2"/>
    </row>
    <row r="372" spans="2:8" x14ac:dyDescent="0.2">
      <c r="B372" s="2"/>
      <c r="G372" s="2"/>
      <c r="H372" s="2"/>
    </row>
    <row r="373" spans="2:8" x14ac:dyDescent="0.2">
      <c r="B373" s="2"/>
      <c r="G373" s="2"/>
      <c r="H373" s="2"/>
    </row>
    <row r="374" spans="2:8" x14ac:dyDescent="0.2">
      <c r="B374" s="2"/>
      <c r="G374" s="2"/>
      <c r="H374" s="2"/>
    </row>
    <row r="375" spans="2:8" x14ac:dyDescent="0.2">
      <c r="B375" s="2"/>
      <c r="G375" s="2"/>
      <c r="H375" s="2"/>
    </row>
    <row r="376" spans="2:8" x14ac:dyDescent="0.2">
      <c r="B376" s="2"/>
      <c r="G376" s="2"/>
      <c r="H376" s="2"/>
    </row>
    <row r="377" spans="2:8" x14ac:dyDescent="0.2">
      <c r="B377" s="2"/>
      <c r="G377" s="2"/>
      <c r="H377" s="2"/>
    </row>
    <row r="378" spans="2:8" x14ac:dyDescent="0.2">
      <c r="B378" s="2"/>
      <c r="G378" s="2"/>
      <c r="H378" s="2"/>
    </row>
    <row r="379" spans="2:8" x14ac:dyDescent="0.2">
      <c r="B379" s="2"/>
      <c r="G379" s="2"/>
      <c r="H379" s="2"/>
    </row>
    <row r="380" spans="2:8" x14ac:dyDescent="0.2">
      <c r="B380" s="2"/>
      <c r="G380" s="2"/>
      <c r="H380" s="2"/>
    </row>
    <row r="381" spans="2:8" x14ac:dyDescent="0.2">
      <c r="B381" s="2"/>
      <c r="G381" s="2"/>
      <c r="H381" s="2"/>
    </row>
    <row r="382" spans="2:8" x14ac:dyDescent="0.2">
      <c r="B382" s="2"/>
      <c r="G382" s="2"/>
      <c r="H382" s="2"/>
    </row>
    <row r="383" spans="2:8" x14ac:dyDescent="0.2">
      <c r="B383" s="2"/>
      <c r="G383" s="2"/>
      <c r="H383" s="2"/>
    </row>
    <row r="384" spans="2:8" x14ac:dyDescent="0.2">
      <c r="B384" s="2"/>
      <c r="G384" s="2"/>
      <c r="H384" s="2"/>
    </row>
    <row r="385" spans="2:8" x14ac:dyDescent="0.2">
      <c r="B385" s="2"/>
      <c r="G385" s="2"/>
      <c r="H385" s="2"/>
    </row>
    <row r="386" spans="2:8" x14ac:dyDescent="0.2">
      <c r="B386" s="2"/>
      <c r="G386" s="2"/>
      <c r="H386" s="2"/>
    </row>
    <row r="387" spans="2:8" x14ac:dyDescent="0.2">
      <c r="B387" s="2"/>
      <c r="G387" s="2"/>
      <c r="H387" s="2"/>
    </row>
    <row r="388" spans="2:8" x14ac:dyDescent="0.2">
      <c r="B388" s="2"/>
      <c r="G388" s="2"/>
      <c r="H388" s="2"/>
    </row>
    <row r="389" spans="2:8" x14ac:dyDescent="0.2">
      <c r="B389" s="2"/>
      <c r="G389" s="2"/>
      <c r="H389" s="2"/>
    </row>
    <row r="390" spans="2:8" x14ac:dyDescent="0.2">
      <c r="B390" s="2"/>
      <c r="G390" s="2"/>
      <c r="H390" s="2"/>
    </row>
    <row r="391" spans="2:8" x14ac:dyDescent="0.2">
      <c r="B391" s="2"/>
      <c r="G391" s="2"/>
      <c r="H391" s="2"/>
    </row>
    <row r="392" spans="2:8" x14ac:dyDescent="0.2">
      <c r="B392" s="2"/>
      <c r="G392" s="2"/>
      <c r="H392" s="2"/>
    </row>
    <row r="393" spans="2:8" x14ac:dyDescent="0.2">
      <c r="B393" s="2"/>
      <c r="G393" s="2"/>
      <c r="H393" s="2"/>
    </row>
    <row r="394" spans="2:8" x14ac:dyDescent="0.2">
      <c r="B394" s="2"/>
      <c r="G394" s="2"/>
      <c r="H394" s="2"/>
    </row>
    <row r="395" spans="2:8" x14ac:dyDescent="0.2">
      <c r="B395" s="2"/>
      <c r="G395" s="2"/>
      <c r="H395" s="2"/>
    </row>
    <row r="396" spans="2:8" x14ac:dyDescent="0.2">
      <c r="B396" s="2"/>
      <c r="G396" s="2"/>
      <c r="H396" s="2"/>
    </row>
    <row r="397" spans="2:8" x14ac:dyDescent="0.2">
      <c r="B397" s="2"/>
      <c r="G397" s="2"/>
      <c r="H397" s="2"/>
    </row>
    <row r="398" spans="2:8" x14ac:dyDescent="0.2">
      <c r="B398" s="2"/>
      <c r="G398" s="2"/>
      <c r="H398" s="2"/>
    </row>
    <row r="399" spans="2:8" x14ac:dyDescent="0.2">
      <c r="B399" s="2"/>
      <c r="G399" s="2"/>
      <c r="H399" s="2"/>
    </row>
    <row r="400" spans="2:8" x14ac:dyDescent="0.2">
      <c r="B400" s="2"/>
      <c r="G400" s="2"/>
      <c r="H400" s="2"/>
    </row>
    <row r="401" spans="2:8" x14ac:dyDescent="0.2">
      <c r="B401" s="2"/>
      <c r="G401" s="2"/>
      <c r="H401" s="2"/>
    </row>
    <row r="402" spans="2:8" x14ac:dyDescent="0.2">
      <c r="B402" s="2"/>
      <c r="G402" s="2"/>
      <c r="H402" s="2"/>
    </row>
    <row r="403" spans="2:8" x14ac:dyDescent="0.2">
      <c r="B403" s="2"/>
      <c r="G403" s="2"/>
      <c r="H403" s="2"/>
    </row>
    <row r="404" spans="2:8" x14ac:dyDescent="0.2">
      <c r="B404" s="2"/>
      <c r="G404" s="2"/>
      <c r="H404" s="2"/>
    </row>
    <row r="405" spans="2:8" x14ac:dyDescent="0.2">
      <c r="B405" s="2"/>
      <c r="G405" s="2"/>
      <c r="H405" s="2"/>
    </row>
    <row r="406" spans="2:8" x14ac:dyDescent="0.2">
      <c r="B406" s="2"/>
      <c r="G406" s="2"/>
      <c r="H406" s="2"/>
    </row>
    <row r="407" spans="2:8" x14ac:dyDescent="0.2">
      <c r="B407" s="2"/>
      <c r="G407" s="2"/>
      <c r="H407" s="2"/>
    </row>
    <row r="408" spans="2:8" x14ac:dyDescent="0.2">
      <c r="B408" s="2"/>
      <c r="G408" s="2"/>
      <c r="H408" s="2"/>
    </row>
    <row r="409" spans="2:8" x14ac:dyDescent="0.2">
      <c r="B409" s="2"/>
      <c r="G409" s="2"/>
      <c r="H409" s="2"/>
    </row>
    <row r="410" spans="2:8" x14ac:dyDescent="0.2">
      <c r="B410" s="2"/>
      <c r="G410" s="2"/>
      <c r="H410" s="2"/>
    </row>
    <row r="411" spans="2:8" x14ac:dyDescent="0.2">
      <c r="B411" s="2"/>
      <c r="G411" s="2"/>
      <c r="H411" s="2"/>
    </row>
    <row r="412" spans="2:8" x14ac:dyDescent="0.2">
      <c r="B412" s="2"/>
      <c r="G412" s="2"/>
      <c r="H412" s="2"/>
    </row>
    <row r="413" spans="2:8" x14ac:dyDescent="0.2">
      <c r="B413" s="2"/>
      <c r="G413" s="2"/>
      <c r="H413" s="2"/>
    </row>
    <row r="414" spans="2:8" x14ac:dyDescent="0.2">
      <c r="B414" s="2"/>
      <c r="G414" s="2"/>
      <c r="H414" s="2"/>
    </row>
    <row r="415" spans="2:8" x14ac:dyDescent="0.2">
      <c r="B415" s="2"/>
      <c r="G415" s="2"/>
      <c r="H415" s="2"/>
    </row>
    <row r="416" spans="2:8" x14ac:dyDescent="0.2">
      <c r="B416" s="2"/>
      <c r="G416" s="2"/>
      <c r="H416" s="2"/>
    </row>
    <row r="417" spans="2:8" x14ac:dyDescent="0.2">
      <c r="B417" s="2"/>
      <c r="G417" s="2"/>
      <c r="H417" s="2"/>
    </row>
    <row r="418" spans="2:8" x14ac:dyDescent="0.2">
      <c r="B418" s="2"/>
      <c r="G418" s="2"/>
      <c r="H418" s="2"/>
    </row>
    <row r="419" spans="2:8" x14ac:dyDescent="0.2">
      <c r="B419" s="2"/>
      <c r="G419" s="2"/>
      <c r="H419" s="2"/>
    </row>
    <row r="420" spans="2:8" x14ac:dyDescent="0.2">
      <c r="B420" s="2"/>
      <c r="G420" s="2"/>
      <c r="H420" s="2"/>
    </row>
    <row r="421" spans="2:8" x14ac:dyDescent="0.2">
      <c r="B421" s="2"/>
      <c r="G421" s="2"/>
      <c r="H421" s="2"/>
    </row>
    <row r="422" spans="2:8" x14ac:dyDescent="0.2">
      <c r="B422" s="2"/>
      <c r="G422" s="2"/>
      <c r="H422" s="2"/>
    </row>
    <row r="423" spans="2:8" x14ac:dyDescent="0.2">
      <c r="B423" s="2"/>
      <c r="G423" s="2"/>
      <c r="H423" s="2"/>
    </row>
    <row r="424" spans="2:8" x14ac:dyDescent="0.2">
      <c r="B424" s="2"/>
      <c r="G424" s="2"/>
      <c r="H424" s="2"/>
    </row>
    <row r="425" spans="2:8" x14ac:dyDescent="0.2">
      <c r="B425" s="2"/>
      <c r="G425" s="2"/>
      <c r="H425" s="2"/>
    </row>
    <row r="426" spans="2:8" x14ac:dyDescent="0.2">
      <c r="B426" s="2"/>
      <c r="G426" s="2"/>
      <c r="H426" s="2"/>
    </row>
    <row r="427" spans="2:8" x14ac:dyDescent="0.2">
      <c r="B427" s="2"/>
      <c r="G427" s="2"/>
      <c r="H427" s="2"/>
    </row>
    <row r="428" spans="2:8" x14ac:dyDescent="0.2">
      <c r="B428" s="2"/>
      <c r="G428" s="2"/>
      <c r="H428" s="2"/>
    </row>
    <row r="429" spans="2:8" x14ac:dyDescent="0.2">
      <c r="B429" s="2"/>
      <c r="G429" s="2"/>
      <c r="H429" s="2"/>
    </row>
    <row r="430" spans="2:8" x14ac:dyDescent="0.2">
      <c r="B430" s="2"/>
      <c r="G430" s="2"/>
      <c r="H430" s="2"/>
    </row>
    <row r="431" spans="2:8" x14ac:dyDescent="0.2">
      <c r="B431" s="2"/>
      <c r="G431" s="2"/>
      <c r="H431" s="2"/>
    </row>
    <row r="432" spans="2:8" x14ac:dyDescent="0.2">
      <c r="B432" s="2"/>
      <c r="G432" s="2"/>
      <c r="H432" s="2"/>
    </row>
    <row r="433" spans="2:8" x14ac:dyDescent="0.2">
      <c r="B433" s="2"/>
      <c r="G433" s="2"/>
      <c r="H433" s="2"/>
    </row>
    <row r="434" spans="2:8" x14ac:dyDescent="0.2">
      <c r="B434" s="2"/>
      <c r="G434" s="2"/>
      <c r="H434" s="2"/>
    </row>
    <row r="435" spans="2:8" x14ac:dyDescent="0.2">
      <c r="B435" s="2"/>
      <c r="G435" s="2"/>
      <c r="H435" s="2"/>
    </row>
    <row r="436" spans="2:8" x14ac:dyDescent="0.2">
      <c r="B436" s="2"/>
      <c r="G436" s="2"/>
      <c r="H436" s="2"/>
    </row>
    <row r="437" spans="2:8" x14ac:dyDescent="0.2">
      <c r="B437" s="2"/>
      <c r="G437" s="2"/>
      <c r="H437" s="2"/>
    </row>
    <row r="438" spans="2:8" x14ac:dyDescent="0.2">
      <c r="B438" s="2"/>
      <c r="G438" s="2"/>
      <c r="H438" s="2"/>
    </row>
    <row r="439" spans="2:8" x14ac:dyDescent="0.2">
      <c r="B439" s="2"/>
      <c r="G439" s="2"/>
      <c r="H439" s="2"/>
    </row>
    <row r="440" spans="2:8" x14ac:dyDescent="0.2">
      <c r="B440" s="2"/>
      <c r="G440" s="2"/>
      <c r="H440" s="2"/>
    </row>
    <row r="441" spans="2:8" x14ac:dyDescent="0.2">
      <c r="B441" s="2"/>
      <c r="G441" s="2"/>
      <c r="H441" s="2"/>
    </row>
    <row r="442" spans="2:8" x14ac:dyDescent="0.2">
      <c r="B442" s="2"/>
      <c r="G442" s="2"/>
      <c r="H442" s="2"/>
    </row>
    <row r="443" spans="2:8" x14ac:dyDescent="0.2">
      <c r="B443" s="2"/>
      <c r="G443" s="2"/>
      <c r="H443" s="2"/>
    </row>
    <row r="444" spans="2:8" x14ac:dyDescent="0.2">
      <c r="B444" s="2"/>
      <c r="G444" s="2"/>
      <c r="H444" s="2"/>
    </row>
    <row r="445" spans="2:8" x14ac:dyDescent="0.2">
      <c r="B445" s="2"/>
      <c r="G445" s="2"/>
      <c r="H445" s="2"/>
    </row>
    <row r="446" spans="2:8" x14ac:dyDescent="0.2">
      <c r="B446" s="2"/>
      <c r="G446" s="2"/>
      <c r="H446" s="2"/>
    </row>
    <row r="447" spans="2:8" x14ac:dyDescent="0.2">
      <c r="B447" s="2"/>
      <c r="G447" s="2"/>
      <c r="H447" s="2"/>
    </row>
    <row r="448" spans="2:8" x14ac:dyDescent="0.2">
      <c r="B448" s="2"/>
      <c r="G448" s="2"/>
      <c r="H448" s="2"/>
    </row>
    <row r="449" spans="2:8" x14ac:dyDescent="0.2">
      <c r="B449" s="2"/>
      <c r="G449" s="2"/>
      <c r="H449" s="2"/>
    </row>
    <row r="450" spans="2:8" x14ac:dyDescent="0.2">
      <c r="B450" s="2"/>
      <c r="G450" s="2"/>
      <c r="H450" s="2"/>
    </row>
    <row r="451" spans="2:8" x14ac:dyDescent="0.2">
      <c r="B451" s="2"/>
      <c r="G451" s="2"/>
      <c r="H451" s="2"/>
    </row>
    <row r="452" spans="2:8" x14ac:dyDescent="0.2">
      <c r="B452" s="2"/>
      <c r="G452" s="2"/>
      <c r="H452" s="2"/>
    </row>
    <row r="453" spans="2:8" x14ac:dyDescent="0.2">
      <c r="B453" s="2"/>
      <c r="G453" s="2"/>
      <c r="H453" s="2"/>
    </row>
    <row r="454" spans="2:8" x14ac:dyDescent="0.2">
      <c r="B454" s="2"/>
      <c r="G454" s="2"/>
      <c r="H454" s="2"/>
    </row>
    <row r="455" spans="2:8" x14ac:dyDescent="0.2">
      <c r="B455" s="2"/>
      <c r="G455" s="2"/>
      <c r="H455" s="2"/>
    </row>
    <row r="456" spans="2:8" x14ac:dyDescent="0.2">
      <c r="B456" s="2"/>
      <c r="G456" s="2"/>
      <c r="H456" s="2"/>
    </row>
    <row r="457" spans="2:8" x14ac:dyDescent="0.2">
      <c r="B457" s="2"/>
      <c r="G457" s="2"/>
      <c r="H457" s="2"/>
    </row>
    <row r="458" spans="2:8" x14ac:dyDescent="0.2">
      <c r="B458" s="2"/>
      <c r="G458" s="2"/>
      <c r="H458" s="2"/>
    </row>
    <row r="459" spans="2:8" x14ac:dyDescent="0.2">
      <c r="B459" s="2"/>
      <c r="G459" s="2"/>
      <c r="H459" s="2"/>
    </row>
    <row r="460" spans="2:8" x14ac:dyDescent="0.2">
      <c r="B460" s="2"/>
      <c r="G460" s="2"/>
      <c r="H460" s="2"/>
    </row>
    <row r="461" spans="2:8" x14ac:dyDescent="0.2">
      <c r="B461" s="2"/>
      <c r="G461" s="2"/>
      <c r="H461" s="2"/>
    </row>
    <row r="462" spans="2:8" x14ac:dyDescent="0.2">
      <c r="B462" s="2"/>
      <c r="G462" s="2"/>
      <c r="H462" s="2"/>
    </row>
    <row r="463" spans="2:8" x14ac:dyDescent="0.2">
      <c r="B463" s="2"/>
      <c r="G463" s="2"/>
      <c r="H463" s="2"/>
    </row>
    <row r="464" spans="2:8" x14ac:dyDescent="0.2">
      <c r="B464" s="2"/>
      <c r="G464" s="2"/>
      <c r="H464" s="2"/>
    </row>
    <row r="465" spans="2:8" x14ac:dyDescent="0.2">
      <c r="B465" s="2"/>
      <c r="G465" s="2"/>
      <c r="H465" s="2"/>
    </row>
    <row r="466" spans="2:8" x14ac:dyDescent="0.2">
      <c r="B466" s="2"/>
      <c r="G466" s="2"/>
      <c r="H466" s="2"/>
    </row>
    <row r="467" spans="2:8" x14ac:dyDescent="0.2">
      <c r="B467" s="2"/>
      <c r="G467" s="2"/>
      <c r="H467" s="2"/>
    </row>
    <row r="468" spans="2:8" x14ac:dyDescent="0.2">
      <c r="B468" s="2"/>
      <c r="G468" s="2"/>
      <c r="H468" s="2"/>
    </row>
    <row r="469" spans="2:8" x14ac:dyDescent="0.2">
      <c r="B469" s="2"/>
      <c r="G469" s="2"/>
      <c r="H469" s="2"/>
    </row>
    <row r="470" spans="2:8" x14ac:dyDescent="0.2">
      <c r="B470" s="2"/>
      <c r="G470" s="2"/>
      <c r="H470" s="2"/>
    </row>
    <row r="471" spans="2:8" x14ac:dyDescent="0.2">
      <c r="B471" s="2"/>
      <c r="G471" s="2"/>
      <c r="H471" s="2"/>
    </row>
    <row r="472" spans="2:8" x14ac:dyDescent="0.2">
      <c r="B472" s="2"/>
      <c r="G472" s="2"/>
      <c r="H472" s="2"/>
    </row>
    <row r="473" spans="2:8" x14ac:dyDescent="0.2">
      <c r="B473" s="2"/>
      <c r="G473" s="2"/>
      <c r="H473" s="2"/>
    </row>
    <row r="474" spans="2:8" x14ac:dyDescent="0.2">
      <c r="B474" s="2"/>
      <c r="G474" s="2"/>
      <c r="H474" s="2"/>
    </row>
    <row r="475" spans="2:8" x14ac:dyDescent="0.2">
      <c r="B475" s="2"/>
      <c r="G475" s="2"/>
      <c r="H475" s="2"/>
    </row>
    <row r="476" spans="2:8" x14ac:dyDescent="0.2">
      <c r="B476" s="2"/>
      <c r="G476" s="2"/>
      <c r="H476" s="2"/>
    </row>
    <row r="477" spans="2:8" x14ac:dyDescent="0.2">
      <c r="B477" s="2"/>
      <c r="G477" s="2"/>
      <c r="H477" s="2"/>
    </row>
    <row r="478" spans="2:8" x14ac:dyDescent="0.2">
      <c r="B478" s="2"/>
      <c r="G478" s="2"/>
      <c r="H478" s="2"/>
    </row>
    <row r="479" spans="2:8" x14ac:dyDescent="0.2">
      <c r="B479" s="2"/>
      <c r="G479" s="2"/>
      <c r="H479" s="2"/>
    </row>
    <row r="480" spans="2:8" x14ac:dyDescent="0.2">
      <c r="B480" s="2"/>
      <c r="G480" s="2"/>
      <c r="H480" s="2"/>
    </row>
    <row r="481" spans="2:8" x14ac:dyDescent="0.2">
      <c r="B481" s="2"/>
      <c r="G481" s="2"/>
      <c r="H481" s="2"/>
    </row>
    <row r="482" spans="2:8" x14ac:dyDescent="0.2">
      <c r="B482" s="2"/>
      <c r="G482" s="2"/>
      <c r="H482" s="2"/>
    </row>
    <row r="483" spans="2:8" x14ac:dyDescent="0.2">
      <c r="B483" s="2"/>
      <c r="G483" s="2"/>
      <c r="H483" s="2"/>
    </row>
    <row r="484" spans="2:8" x14ac:dyDescent="0.2">
      <c r="B484" s="2"/>
      <c r="G484" s="2"/>
      <c r="H484" s="2"/>
    </row>
    <row r="485" spans="2:8" x14ac:dyDescent="0.2">
      <c r="B485" s="2"/>
      <c r="G485" s="2"/>
      <c r="H485" s="2"/>
    </row>
    <row r="486" spans="2:8" x14ac:dyDescent="0.2">
      <c r="B486" s="2"/>
      <c r="G486" s="2"/>
      <c r="H486" s="2"/>
    </row>
    <row r="487" spans="2:8" x14ac:dyDescent="0.2">
      <c r="B487" s="2"/>
      <c r="G487" s="2"/>
      <c r="H487" s="2"/>
    </row>
    <row r="488" spans="2:8" x14ac:dyDescent="0.2">
      <c r="B488" s="2"/>
      <c r="G488" s="2"/>
      <c r="H488" s="2"/>
    </row>
    <row r="489" spans="2:8" x14ac:dyDescent="0.2">
      <c r="B489" s="2"/>
      <c r="G489" s="2"/>
      <c r="H489" s="2"/>
    </row>
    <row r="490" spans="2:8" x14ac:dyDescent="0.2">
      <c r="B490" s="2"/>
      <c r="G490" s="2"/>
      <c r="H490" s="2"/>
    </row>
    <row r="491" spans="2:8" x14ac:dyDescent="0.2">
      <c r="B491" s="2"/>
      <c r="G491" s="2"/>
      <c r="H491" s="2"/>
    </row>
    <row r="492" spans="2:8" x14ac:dyDescent="0.2">
      <c r="B492" s="2"/>
      <c r="G492" s="2"/>
      <c r="H492" s="2"/>
    </row>
    <row r="493" spans="2:8" x14ac:dyDescent="0.2">
      <c r="B493" s="2"/>
      <c r="G493" s="2"/>
      <c r="H493" s="2"/>
    </row>
    <row r="494" spans="2:8" x14ac:dyDescent="0.2">
      <c r="B494" s="2"/>
      <c r="G494" s="2"/>
      <c r="H494" s="2"/>
    </row>
    <row r="495" spans="2:8" x14ac:dyDescent="0.2">
      <c r="B495" s="2"/>
      <c r="G495" s="2"/>
      <c r="H495" s="2"/>
    </row>
    <row r="496" spans="2:8" x14ac:dyDescent="0.2">
      <c r="B496" s="2"/>
      <c r="G496" s="2"/>
      <c r="H496" s="2"/>
    </row>
    <row r="497" spans="2:8" x14ac:dyDescent="0.2">
      <c r="B497" s="2"/>
      <c r="G497" s="2"/>
      <c r="H497" s="2"/>
    </row>
    <row r="498" spans="2:8" x14ac:dyDescent="0.2">
      <c r="B498" s="2"/>
      <c r="G498" s="2"/>
      <c r="H498" s="2"/>
    </row>
    <row r="499" spans="2:8" x14ac:dyDescent="0.2">
      <c r="B499" s="2"/>
      <c r="G499" s="2"/>
      <c r="H499" s="2"/>
    </row>
    <row r="500" spans="2:8" x14ac:dyDescent="0.2">
      <c r="B500" s="2"/>
      <c r="G500" s="2"/>
      <c r="H500" s="2"/>
    </row>
    <row r="501" spans="2:8" x14ac:dyDescent="0.2">
      <c r="B501" s="2"/>
      <c r="G501" s="2"/>
      <c r="H501" s="2"/>
    </row>
    <row r="502" spans="2:8" x14ac:dyDescent="0.2">
      <c r="B502" s="2"/>
      <c r="G502" s="2"/>
      <c r="H502" s="2"/>
    </row>
    <row r="503" spans="2:8" x14ac:dyDescent="0.2">
      <c r="B503" s="2"/>
      <c r="G503" s="2"/>
      <c r="H503" s="2"/>
    </row>
    <row r="504" spans="2:8" x14ac:dyDescent="0.2">
      <c r="B504" s="2"/>
      <c r="G504" s="2"/>
      <c r="H504" s="2"/>
    </row>
    <row r="505" spans="2:8" x14ac:dyDescent="0.2">
      <c r="B505" s="2"/>
      <c r="G505" s="2"/>
      <c r="H505" s="2"/>
    </row>
    <row r="506" spans="2:8" x14ac:dyDescent="0.2">
      <c r="B506" s="2"/>
      <c r="G506" s="2"/>
      <c r="H506" s="2"/>
    </row>
    <row r="507" spans="2:8" x14ac:dyDescent="0.2">
      <c r="B507" s="2"/>
      <c r="G507" s="2"/>
      <c r="H507" s="2"/>
    </row>
    <row r="508" spans="2:8" x14ac:dyDescent="0.2">
      <c r="B508" s="2"/>
      <c r="G508" s="2"/>
      <c r="H508" s="2"/>
    </row>
    <row r="509" spans="2:8" x14ac:dyDescent="0.2">
      <c r="B509" s="2"/>
      <c r="G509" s="2"/>
      <c r="H509" s="2"/>
    </row>
    <row r="510" spans="2:8" x14ac:dyDescent="0.2">
      <c r="B510" s="2"/>
      <c r="G510" s="2"/>
      <c r="H510" s="2"/>
    </row>
    <row r="511" spans="2:8" x14ac:dyDescent="0.2">
      <c r="B511" s="2"/>
      <c r="G511" s="2"/>
      <c r="H511" s="2"/>
    </row>
    <row r="512" spans="2:8" x14ac:dyDescent="0.2">
      <c r="B512" s="2"/>
      <c r="G512" s="2"/>
      <c r="H512" s="2"/>
    </row>
    <row r="513" spans="2:8" x14ac:dyDescent="0.2">
      <c r="B513" s="2"/>
      <c r="G513" s="2"/>
      <c r="H513" s="2"/>
    </row>
    <row r="514" spans="2:8" x14ac:dyDescent="0.2">
      <c r="B514" s="2"/>
      <c r="G514" s="2"/>
      <c r="H514" s="2"/>
    </row>
    <row r="515" spans="2:8" x14ac:dyDescent="0.2">
      <c r="B515" s="2"/>
      <c r="G515" s="2"/>
      <c r="H515" s="2"/>
    </row>
    <row r="516" spans="2:8" x14ac:dyDescent="0.2">
      <c r="B516" s="2"/>
      <c r="G516" s="2"/>
      <c r="H516" s="2"/>
    </row>
    <row r="517" spans="2:8" x14ac:dyDescent="0.2">
      <c r="B517" s="2"/>
      <c r="G517" s="2"/>
      <c r="H517" s="2"/>
    </row>
    <row r="518" spans="2:8" x14ac:dyDescent="0.2">
      <c r="B518" s="2"/>
      <c r="G518" s="2"/>
      <c r="H518" s="2"/>
    </row>
    <row r="519" spans="2:8" x14ac:dyDescent="0.2">
      <c r="B519" s="2"/>
      <c r="G519" s="2"/>
      <c r="H519" s="2"/>
    </row>
    <row r="520" spans="2:8" x14ac:dyDescent="0.2">
      <c r="B520" s="2"/>
      <c r="G520" s="2"/>
      <c r="H520" s="2"/>
    </row>
    <row r="521" spans="2:8" x14ac:dyDescent="0.2">
      <c r="B521" s="2"/>
      <c r="G521" s="2"/>
      <c r="H521" s="2"/>
    </row>
    <row r="522" spans="2:8" x14ac:dyDescent="0.2">
      <c r="B522" s="2"/>
      <c r="G522" s="2"/>
      <c r="H522" s="2"/>
    </row>
    <row r="523" spans="2:8" x14ac:dyDescent="0.2">
      <c r="B523" s="2"/>
      <c r="G523" s="2"/>
      <c r="H523" s="2"/>
    </row>
    <row r="524" spans="2:8" x14ac:dyDescent="0.2">
      <c r="B524" s="2"/>
      <c r="G524" s="2"/>
      <c r="H524" s="2"/>
    </row>
    <row r="525" spans="2:8" x14ac:dyDescent="0.2">
      <c r="B525" s="2"/>
      <c r="G525" s="2"/>
      <c r="H525" s="2"/>
    </row>
    <row r="526" spans="2:8" x14ac:dyDescent="0.2">
      <c r="B526" s="2"/>
      <c r="G526" s="2"/>
      <c r="H526" s="2"/>
    </row>
    <row r="527" spans="2:8" x14ac:dyDescent="0.2">
      <c r="B527" s="2"/>
      <c r="G527" s="2"/>
      <c r="H527" s="2"/>
    </row>
    <row r="528" spans="2:8" x14ac:dyDescent="0.2">
      <c r="B528" s="2"/>
      <c r="G528" s="2"/>
      <c r="H528" s="2"/>
    </row>
    <row r="529" spans="2:8" x14ac:dyDescent="0.2">
      <c r="B529" s="2"/>
      <c r="G529" s="2"/>
      <c r="H529" s="2"/>
    </row>
    <row r="530" spans="2:8" x14ac:dyDescent="0.2">
      <c r="B530" s="2"/>
      <c r="G530" s="2"/>
      <c r="H530" s="2"/>
    </row>
    <row r="531" spans="2:8" x14ac:dyDescent="0.2">
      <c r="B531" s="2"/>
      <c r="G531" s="2"/>
      <c r="H531" s="2"/>
    </row>
    <row r="532" spans="2:8" x14ac:dyDescent="0.2">
      <c r="B532" s="2"/>
      <c r="G532" s="2"/>
      <c r="H532" s="2"/>
    </row>
    <row r="533" spans="2:8" x14ac:dyDescent="0.2">
      <c r="B533" s="2"/>
      <c r="G533" s="2"/>
      <c r="H533" s="2"/>
    </row>
    <row r="534" spans="2:8" x14ac:dyDescent="0.2">
      <c r="B534" s="2"/>
      <c r="G534" s="2"/>
      <c r="H534" s="2"/>
    </row>
    <row r="535" spans="2:8" x14ac:dyDescent="0.2">
      <c r="B535" s="2"/>
      <c r="G535" s="2"/>
      <c r="H535" s="2"/>
    </row>
    <row r="536" spans="2:8" x14ac:dyDescent="0.2">
      <c r="B536" s="2"/>
      <c r="G536" s="2"/>
      <c r="H536" s="2"/>
    </row>
    <row r="537" spans="2:8" x14ac:dyDescent="0.2">
      <c r="B537" s="2"/>
      <c r="G537" s="2"/>
      <c r="H537" s="2"/>
    </row>
    <row r="538" spans="2:8" x14ac:dyDescent="0.2">
      <c r="B538" s="2"/>
      <c r="G538" s="2"/>
      <c r="H538" s="2"/>
    </row>
    <row r="539" spans="2:8" x14ac:dyDescent="0.2">
      <c r="B539" s="2"/>
      <c r="G539" s="2"/>
      <c r="H539" s="2"/>
    </row>
    <row r="540" spans="2:8" x14ac:dyDescent="0.2">
      <c r="B540" s="2"/>
      <c r="G540" s="2"/>
      <c r="H540" s="2"/>
    </row>
    <row r="541" spans="2:8" x14ac:dyDescent="0.2">
      <c r="B541" s="2"/>
      <c r="G541" s="2"/>
      <c r="H541" s="2"/>
    </row>
    <row r="542" spans="2:8" x14ac:dyDescent="0.2">
      <c r="B542" s="2"/>
      <c r="G542" s="2"/>
      <c r="H542" s="2"/>
    </row>
    <row r="543" spans="2:8" x14ac:dyDescent="0.2">
      <c r="B543" s="2"/>
      <c r="G543" s="2"/>
      <c r="H543" s="2"/>
    </row>
    <row r="544" spans="2:8" x14ac:dyDescent="0.2">
      <c r="B544" s="2"/>
      <c r="G544" s="2"/>
      <c r="H544" s="2"/>
    </row>
    <row r="545" spans="2:8" x14ac:dyDescent="0.2">
      <c r="B545" s="2"/>
      <c r="G545" s="2"/>
      <c r="H545" s="2"/>
    </row>
    <row r="546" spans="2:8" x14ac:dyDescent="0.2">
      <c r="B546" s="2"/>
      <c r="G546" s="2"/>
      <c r="H546" s="2"/>
    </row>
    <row r="547" spans="2:8" x14ac:dyDescent="0.2">
      <c r="B547" s="2"/>
      <c r="G547" s="2"/>
      <c r="H547" s="2"/>
    </row>
    <row r="548" spans="2:8" x14ac:dyDescent="0.2">
      <c r="B548" s="2"/>
      <c r="G548" s="2"/>
      <c r="H548" s="2"/>
    </row>
    <row r="549" spans="2:8" x14ac:dyDescent="0.2">
      <c r="B549" s="2"/>
      <c r="G549" s="2"/>
      <c r="H549" s="2"/>
    </row>
    <row r="550" spans="2:8" x14ac:dyDescent="0.2">
      <c r="B550" s="2"/>
      <c r="G550" s="2"/>
      <c r="H550" s="2"/>
    </row>
    <row r="551" spans="2:8" x14ac:dyDescent="0.2">
      <c r="B551" s="2"/>
      <c r="G551" s="2"/>
      <c r="H551" s="2"/>
    </row>
    <row r="552" spans="2:8" x14ac:dyDescent="0.2">
      <c r="B552" s="2"/>
      <c r="G552" s="2"/>
      <c r="H552" s="2"/>
    </row>
    <row r="553" spans="2:8" x14ac:dyDescent="0.2">
      <c r="B553" s="2"/>
      <c r="G553" s="2"/>
      <c r="H553" s="2"/>
    </row>
    <row r="554" spans="2:8" x14ac:dyDescent="0.2">
      <c r="B554" s="2"/>
      <c r="G554" s="2"/>
      <c r="H554" s="2"/>
    </row>
    <row r="555" spans="2:8" x14ac:dyDescent="0.2">
      <c r="B555" s="2"/>
      <c r="G555" s="2"/>
      <c r="H555" s="2"/>
    </row>
    <row r="556" spans="2:8" x14ac:dyDescent="0.2">
      <c r="B556" s="2"/>
      <c r="G556" s="2"/>
      <c r="H556" s="2"/>
    </row>
    <row r="557" spans="2:8" x14ac:dyDescent="0.2">
      <c r="B557" s="2"/>
      <c r="G557" s="2"/>
      <c r="H557" s="2"/>
    </row>
    <row r="558" spans="2:8" x14ac:dyDescent="0.2">
      <c r="B558" s="2"/>
      <c r="G558" s="2"/>
      <c r="H558" s="2"/>
    </row>
    <row r="559" spans="2:8" x14ac:dyDescent="0.2">
      <c r="B559" s="2"/>
      <c r="G559" s="2"/>
      <c r="H559" s="2"/>
    </row>
    <row r="560" spans="2:8" x14ac:dyDescent="0.2">
      <c r="B560" s="2"/>
      <c r="G560" s="2"/>
      <c r="H560" s="2"/>
    </row>
    <row r="561" spans="2:8" x14ac:dyDescent="0.2">
      <c r="B561" s="2"/>
      <c r="G561" s="2"/>
      <c r="H561" s="2"/>
    </row>
    <row r="562" spans="2:8" x14ac:dyDescent="0.2">
      <c r="B562" s="2"/>
      <c r="G562" s="2"/>
      <c r="H562" s="2"/>
    </row>
    <row r="563" spans="2:8" x14ac:dyDescent="0.2">
      <c r="B563" s="2"/>
      <c r="G563" s="2"/>
      <c r="H563" s="2"/>
    </row>
    <row r="564" spans="2:8" x14ac:dyDescent="0.2">
      <c r="B564" s="2"/>
      <c r="G564" s="2"/>
      <c r="H564" s="2"/>
    </row>
    <row r="565" spans="2:8" x14ac:dyDescent="0.2">
      <c r="B565" s="2"/>
      <c r="G565" s="2"/>
      <c r="H565" s="2"/>
    </row>
    <row r="566" spans="2:8" x14ac:dyDescent="0.2">
      <c r="B566" s="2"/>
      <c r="G566" s="2"/>
      <c r="H566" s="2"/>
    </row>
    <row r="567" spans="2:8" x14ac:dyDescent="0.2">
      <c r="B567" s="2"/>
      <c r="G567" s="2"/>
      <c r="H567" s="2"/>
    </row>
    <row r="568" spans="2:8" x14ac:dyDescent="0.2">
      <c r="B568" s="2"/>
      <c r="G568" s="2"/>
      <c r="H568" s="2"/>
    </row>
    <row r="569" spans="2:8" x14ac:dyDescent="0.2">
      <c r="B569" s="2"/>
      <c r="G569" s="2"/>
      <c r="H569" s="2"/>
    </row>
    <row r="570" spans="2:8" x14ac:dyDescent="0.2">
      <c r="B570" s="2"/>
      <c r="G570" s="2"/>
      <c r="H570" s="2"/>
    </row>
    <row r="571" spans="2:8" x14ac:dyDescent="0.2">
      <c r="B571" s="2"/>
      <c r="G571" s="2"/>
      <c r="H571" s="2"/>
    </row>
    <row r="572" spans="2:8" x14ac:dyDescent="0.2">
      <c r="B572" s="2"/>
      <c r="G572" s="2"/>
      <c r="H572" s="2"/>
    </row>
    <row r="573" spans="2:8" x14ac:dyDescent="0.2">
      <c r="B573" s="2"/>
      <c r="G573" s="2"/>
      <c r="H573" s="2"/>
    </row>
    <row r="574" spans="2:8" x14ac:dyDescent="0.2">
      <c r="B574" s="2"/>
      <c r="G574" s="2"/>
      <c r="H574" s="2"/>
    </row>
    <row r="575" spans="2:8" x14ac:dyDescent="0.2">
      <c r="B575" s="2"/>
      <c r="G575" s="2"/>
      <c r="H575" s="2"/>
    </row>
    <row r="576" spans="2:8" x14ac:dyDescent="0.2">
      <c r="B576" s="2"/>
      <c r="G576" s="2"/>
      <c r="H576" s="2"/>
    </row>
    <row r="577" spans="2:8" x14ac:dyDescent="0.2">
      <c r="B577" s="2"/>
      <c r="G577" s="2"/>
      <c r="H577" s="2"/>
    </row>
    <row r="578" spans="2:8" x14ac:dyDescent="0.2">
      <c r="B578" s="2"/>
      <c r="G578" s="2"/>
      <c r="H578" s="2"/>
    </row>
    <row r="579" spans="2:8" x14ac:dyDescent="0.2">
      <c r="B579" s="2"/>
      <c r="G579" s="2"/>
      <c r="H579" s="2"/>
    </row>
    <row r="580" spans="2:8" x14ac:dyDescent="0.2">
      <c r="B580" s="2"/>
      <c r="G580" s="2"/>
      <c r="H580" s="2"/>
    </row>
    <row r="581" spans="2:8" x14ac:dyDescent="0.2">
      <c r="B581" s="2"/>
      <c r="G581" s="2"/>
      <c r="H581" s="2"/>
    </row>
    <row r="582" spans="2:8" x14ac:dyDescent="0.2">
      <c r="B582" s="2"/>
      <c r="G582" s="2"/>
      <c r="H582" s="2"/>
    </row>
    <row r="583" spans="2:8" x14ac:dyDescent="0.2">
      <c r="B583" s="2"/>
      <c r="G583" s="2"/>
      <c r="H583" s="2"/>
    </row>
    <row r="584" spans="2:8" x14ac:dyDescent="0.2">
      <c r="B584" s="2"/>
      <c r="G584" s="2"/>
      <c r="H584" s="2"/>
    </row>
    <row r="585" spans="2:8" x14ac:dyDescent="0.2">
      <c r="B585" s="2"/>
      <c r="G585" s="2"/>
      <c r="H585" s="2"/>
    </row>
    <row r="586" spans="2:8" x14ac:dyDescent="0.2">
      <c r="B586" s="2"/>
      <c r="G586" s="2"/>
      <c r="H586" s="2"/>
    </row>
    <row r="587" spans="2:8" x14ac:dyDescent="0.2">
      <c r="B587" s="2"/>
      <c r="G587" s="2"/>
      <c r="H587" s="2"/>
    </row>
    <row r="588" spans="2:8" x14ac:dyDescent="0.2">
      <c r="B588" s="2"/>
      <c r="G588" s="2"/>
      <c r="H588" s="2"/>
    </row>
    <row r="589" spans="2:8" x14ac:dyDescent="0.2">
      <c r="B589" s="2"/>
      <c r="G589" s="2"/>
      <c r="H589" s="2"/>
    </row>
    <row r="590" spans="2:8" x14ac:dyDescent="0.2">
      <c r="B590" s="2"/>
      <c r="G590" s="2"/>
      <c r="H590" s="2"/>
    </row>
    <row r="591" spans="2:8" x14ac:dyDescent="0.2">
      <c r="B591" s="2"/>
      <c r="G591" s="2"/>
      <c r="H591" s="2"/>
    </row>
    <row r="592" spans="2:8" x14ac:dyDescent="0.2">
      <c r="B592" s="2"/>
      <c r="G592" s="2"/>
      <c r="H592" s="2"/>
    </row>
    <row r="593" spans="2:8" x14ac:dyDescent="0.2">
      <c r="B593" s="2"/>
      <c r="G593" s="2"/>
      <c r="H593" s="2"/>
    </row>
    <row r="594" spans="2:8" x14ac:dyDescent="0.2">
      <c r="B594" s="2"/>
      <c r="G594" s="2"/>
      <c r="H594" s="2"/>
    </row>
    <row r="595" spans="2:8" x14ac:dyDescent="0.2">
      <c r="B595" s="2"/>
      <c r="G595" s="2"/>
      <c r="H595" s="2"/>
    </row>
    <row r="596" spans="2:8" x14ac:dyDescent="0.2">
      <c r="B596" s="2"/>
      <c r="G596" s="2"/>
      <c r="H596" s="2"/>
    </row>
    <row r="597" spans="2:8" x14ac:dyDescent="0.2">
      <c r="B597" s="2"/>
      <c r="G597" s="2"/>
      <c r="H597" s="2"/>
    </row>
    <row r="598" spans="2:8" x14ac:dyDescent="0.2">
      <c r="B598" s="2"/>
      <c r="G598" s="2"/>
      <c r="H598" s="2"/>
    </row>
    <row r="599" spans="2:8" x14ac:dyDescent="0.2">
      <c r="B599" s="2"/>
      <c r="G599" s="2"/>
      <c r="H599" s="2"/>
    </row>
    <row r="600" spans="2:8" x14ac:dyDescent="0.2">
      <c r="B600" s="2"/>
      <c r="G600" s="2"/>
      <c r="H600" s="2"/>
    </row>
    <row r="601" spans="2:8" x14ac:dyDescent="0.2">
      <c r="B601" s="2"/>
      <c r="G601" s="2"/>
      <c r="H601" s="2"/>
    </row>
    <row r="602" spans="2:8" x14ac:dyDescent="0.2">
      <c r="B602" s="2"/>
      <c r="G602" s="2"/>
      <c r="H602" s="2"/>
    </row>
    <row r="603" spans="2:8" x14ac:dyDescent="0.2">
      <c r="B603" s="2"/>
      <c r="G603" s="2"/>
      <c r="H603" s="2"/>
    </row>
  </sheetData>
  <sheetProtection password="CD42" sheet="1" objects="1" scenarios="1"/>
  <mergeCells count="67">
    <mergeCell ref="AA23:AH31"/>
    <mergeCell ref="D41:E41"/>
    <mergeCell ref="F47:G47"/>
    <mergeCell ref="Q19:X20"/>
    <mergeCell ref="C19:E19"/>
    <mergeCell ref="C22:G22"/>
    <mergeCell ref="D20:G20"/>
    <mergeCell ref="C31:I31"/>
    <mergeCell ref="Q22:X26"/>
    <mergeCell ref="C34:G34"/>
    <mergeCell ref="Q61:X65"/>
    <mergeCell ref="Q45:X47"/>
    <mergeCell ref="Q15:X17"/>
    <mergeCell ref="Q52:X59"/>
    <mergeCell ref="Q49:X50"/>
    <mergeCell ref="Q28:X31"/>
    <mergeCell ref="Q35:X38"/>
    <mergeCell ref="Q1:X5"/>
    <mergeCell ref="Q8:X10"/>
    <mergeCell ref="Q12:X13"/>
    <mergeCell ref="I1:I4"/>
    <mergeCell ref="C6:I6"/>
    <mergeCell ref="C12:E12"/>
    <mergeCell ref="D13:G13"/>
    <mergeCell ref="B11:I11"/>
    <mergeCell ref="B7:I7"/>
    <mergeCell ref="D1:H2"/>
    <mergeCell ref="C4:F4"/>
    <mergeCell ref="C8:E8"/>
    <mergeCell ref="H13:I14"/>
    <mergeCell ref="B1:C2"/>
    <mergeCell ref="D9:H10"/>
    <mergeCell ref="H35:I40"/>
    <mergeCell ref="B46:I46"/>
    <mergeCell ref="B27:I28"/>
    <mergeCell ref="B30:I30"/>
    <mergeCell ref="H23:I26"/>
    <mergeCell ref="B21:I21"/>
    <mergeCell ref="B14:G15"/>
    <mergeCell ref="C40:D40"/>
    <mergeCell ref="D17:G17"/>
    <mergeCell ref="C16:F16"/>
    <mergeCell ref="H17:I17"/>
    <mergeCell ref="C61:G61"/>
    <mergeCell ref="D56:G56"/>
    <mergeCell ref="B48:I49"/>
    <mergeCell ref="B51:I52"/>
    <mergeCell ref="D54:G54"/>
    <mergeCell ref="D53:G53"/>
    <mergeCell ref="C58:G58"/>
    <mergeCell ref="D50:G50"/>
    <mergeCell ref="B13:C13"/>
    <mergeCell ref="Q6:R7"/>
    <mergeCell ref="B65:I66"/>
    <mergeCell ref="H67:I67"/>
    <mergeCell ref="Q67:X69"/>
    <mergeCell ref="Q40:X43"/>
    <mergeCell ref="C29:G29"/>
    <mergeCell ref="D67:G67"/>
    <mergeCell ref="D32:F32"/>
    <mergeCell ref="C64:I64"/>
    <mergeCell ref="B69:I69"/>
    <mergeCell ref="B38:G39"/>
    <mergeCell ref="B55:I55"/>
    <mergeCell ref="B57:I57"/>
    <mergeCell ref="B59:I60"/>
    <mergeCell ref="B62:I63"/>
  </mergeCells>
  <phoneticPr fontId="0" type="noConversion"/>
  <dataValidations count="1">
    <dataValidation type="custom" operator="greaterThan" allowBlank="1" showInputMessage="1" showErrorMessage="1" error="Wert zu groß!" sqref="H29">
      <formula1>H29&lt;100.1</formula1>
    </dataValidation>
  </dataValidations>
  <printOptions horizontalCentered="1" verticalCentered="1"/>
  <pageMargins left="0" right="0" top="0.39370078740157483" bottom="0.39370078740157483" header="0.51181102362204722" footer="0.51181102362204722"/>
  <pageSetup paperSize="9" scale="80" orientation="portrait" horizontalDpi="300" verticalDpi="300" r:id="rId1"/>
  <headerFooter alignWithMargins="0">
    <oddFooter>&amp;L&amp;8SW-Bemessung Abscheider_Eingabetabelle&amp;C&amp;8Seite &amp;P von &amp;N&amp;R&amp;8Version VII</oddFooter>
  </headerFooter>
  <rowBreaks count="1" manualBreakCount="1">
    <brk id="70" max="24" man="1"/>
  </rowBreaks>
  <colBreaks count="1" manualBreakCount="1">
    <brk id="16" max="7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showGridLines="0" view="pageBreakPreview" zoomScale="60" zoomScaleNormal="75" workbookViewId="0">
      <pane xSplit="5" ySplit="2" topLeftCell="F3" activePane="bottomRight" state="frozen"/>
      <selection activeCell="AB19" sqref="AB19"/>
      <selection pane="topRight" activeCell="AB19" sqref="AB19"/>
      <selection pane="bottomLeft" activeCell="AB19" sqref="AB19"/>
      <selection pane="bottomRight" activeCell="K18" sqref="K18"/>
    </sheetView>
  </sheetViews>
  <sheetFormatPr baseColWidth="10" defaultRowHeight="12.75" x14ac:dyDescent="0.2"/>
  <cols>
    <col min="1" max="1" width="6.140625" style="132" bestFit="1" customWidth="1"/>
    <col min="2" max="2" width="33.7109375" style="128" customWidth="1"/>
    <col min="3" max="3" width="35" style="128" customWidth="1"/>
    <col min="4" max="5" width="11.7109375" style="140" customWidth="1"/>
    <col min="6" max="7" width="18.42578125" customWidth="1"/>
  </cols>
  <sheetData>
    <row r="1" spans="1:8" ht="54" customHeight="1" x14ac:dyDescent="0.2">
      <c r="B1" s="142" t="s">
        <v>328</v>
      </c>
      <c r="C1" s="142" t="s">
        <v>329</v>
      </c>
      <c r="D1" s="323" t="s">
        <v>364</v>
      </c>
      <c r="E1" s="323"/>
      <c r="F1" s="323" t="s">
        <v>268</v>
      </c>
      <c r="G1" s="323"/>
    </row>
    <row r="2" spans="1:8" ht="51" x14ac:dyDescent="0.2">
      <c r="C2" s="177" t="s">
        <v>434</v>
      </c>
      <c r="D2" s="143" t="s">
        <v>428</v>
      </c>
      <c r="E2" s="143" t="s">
        <v>429</v>
      </c>
      <c r="F2" s="143" t="s">
        <v>431</v>
      </c>
      <c r="G2" s="143" t="s">
        <v>432</v>
      </c>
    </row>
    <row r="3" spans="1:8" ht="6" customHeight="1" x14ac:dyDescent="0.2">
      <c r="D3" s="131"/>
      <c r="E3" s="131"/>
      <c r="H3" s="130"/>
    </row>
    <row r="4" spans="1:8" ht="38.25" x14ac:dyDescent="0.2">
      <c r="A4" s="135">
        <v>1</v>
      </c>
      <c r="B4" s="134" t="s">
        <v>433</v>
      </c>
      <c r="C4" s="134" t="s">
        <v>330</v>
      </c>
      <c r="D4" s="137" t="s">
        <v>358</v>
      </c>
      <c r="E4" s="137" t="s">
        <v>363</v>
      </c>
      <c r="F4" s="137" t="s">
        <v>430</v>
      </c>
      <c r="G4" s="226">
        <v>200</v>
      </c>
    </row>
    <row r="5" spans="1:8" ht="6" customHeight="1" x14ac:dyDescent="0.2">
      <c r="A5" s="223"/>
      <c r="B5" s="224"/>
      <c r="C5" s="224"/>
      <c r="D5" s="225"/>
      <c r="E5" s="225"/>
      <c r="F5" s="225"/>
      <c r="G5" s="225"/>
    </row>
    <row r="6" spans="1:8" s="217" customFormat="1" ht="25.5" x14ac:dyDescent="0.2">
      <c r="A6" s="215" t="s">
        <v>523</v>
      </c>
      <c r="B6" s="216" t="s">
        <v>524</v>
      </c>
      <c r="C6" s="216"/>
      <c r="D6" s="214" t="s">
        <v>519</v>
      </c>
      <c r="E6" s="214" t="s">
        <v>443</v>
      </c>
      <c r="F6" s="214" t="s">
        <v>519</v>
      </c>
      <c r="G6" s="214" t="s">
        <v>518</v>
      </c>
    </row>
    <row r="7" spans="1:8" ht="6" customHeight="1" x14ac:dyDescent="0.2">
      <c r="D7" s="131"/>
      <c r="E7" s="131"/>
    </row>
    <row r="8" spans="1:8" ht="25.5" x14ac:dyDescent="0.2">
      <c r="A8" s="135">
        <v>2</v>
      </c>
      <c r="B8" s="134" t="s">
        <v>331</v>
      </c>
      <c r="C8" s="134"/>
      <c r="D8" s="137" t="s">
        <v>358</v>
      </c>
      <c r="E8" s="137" t="s">
        <v>363</v>
      </c>
      <c r="F8" s="137" t="s">
        <v>430</v>
      </c>
      <c r="G8" s="226">
        <v>200</v>
      </c>
    </row>
    <row r="9" spans="1:8" ht="6" customHeight="1" x14ac:dyDescent="0.2">
      <c r="D9" s="131"/>
      <c r="E9" s="131"/>
    </row>
    <row r="10" spans="1:8" ht="14.25" x14ac:dyDescent="0.2">
      <c r="A10" s="135">
        <v>3</v>
      </c>
      <c r="B10" s="134" t="s">
        <v>332</v>
      </c>
      <c r="C10" s="134"/>
      <c r="D10" s="137" t="s">
        <v>358</v>
      </c>
      <c r="E10" s="137" t="s">
        <v>363</v>
      </c>
      <c r="F10" s="137" t="s">
        <v>430</v>
      </c>
      <c r="G10" s="226">
        <v>200</v>
      </c>
    </row>
    <row r="11" spans="1:8" ht="6" customHeight="1" x14ac:dyDescent="0.2">
      <c r="D11" s="131"/>
      <c r="E11" s="131"/>
    </row>
    <row r="12" spans="1:8" ht="25.5" x14ac:dyDescent="0.2">
      <c r="A12" s="135">
        <v>4</v>
      </c>
      <c r="B12" s="134" t="s">
        <v>333</v>
      </c>
      <c r="C12" s="134"/>
      <c r="D12" s="137" t="s">
        <v>358</v>
      </c>
      <c r="E12" s="137" t="s">
        <v>363</v>
      </c>
      <c r="F12" s="137" t="s">
        <v>430</v>
      </c>
      <c r="G12" s="226">
        <v>200</v>
      </c>
    </row>
    <row r="13" spans="1:8" ht="6" customHeight="1" x14ac:dyDescent="0.2">
      <c r="D13" s="131"/>
      <c r="E13" s="178"/>
    </row>
    <row r="14" spans="1:8" ht="38.25" x14ac:dyDescent="0.2">
      <c r="A14" s="135">
        <v>5</v>
      </c>
      <c r="B14" s="134" t="s">
        <v>357</v>
      </c>
      <c r="C14" s="134" t="s">
        <v>435</v>
      </c>
      <c r="D14" s="138"/>
      <c r="E14" s="139"/>
    </row>
    <row r="15" spans="1:8" ht="12.75" customHeight="1" x14ac:dyDescent="0.2">
      <c r="A15" s="135" t="s">
        <v>334</v>
      </c>
      <c r="B15" s="134" t="s">
        <v>335</v>
      </c>
      <c r="C15" s="134"/>
      <c r="D15" s="137">
        <v>2</v>
      </c>
      <c r="E15" s="137">
        <v>4</v>
      </c>
      <c r="F15" s="226">
        <v>200</v>
      </c>
      <c r="G15" s="226">
        <v>300</v>
      </c>
    </row>
    <row r="16" spans="1:8" x14ac:dyDescent="0.2">
      <c r="A16" s="135" t="s">
        <v>336</v>
      </c>
      <c r="B16" s="134" t="s">
        <v>337</v>
      </c>
      <c r="C16" s="134"/>
      <c r="D16" s="137">
        <v>2</v>
      </c>
      <c r="E16" s="137">
        <v>2</v>
      </c>
      <c r="F16" s="226">
        <v>200</v>
      </c>
      <c r="G16" s="226">
        <v>200</v>
      </c>
    </row>
    <row r="17" spans="1:7" ht="6" customHeight="1" x14ac:dyDescent="0.2">
      <c r="D17" s="131"/>
      <c r="E17" s="131"/>
    </row>
    <row r="18" spans="1:7" x14ac:dyDescent="0.2">
      <c r="A18" s="227">
        <v>6</v>
      </c>
      <c r="B18" s="134" t="s">
        <v>338</v>
      </c>
      <c r="C18" s="179"/>
      <c r="D18" s="139"/>
      <c r="E18" s="139"/>
    </row>
    <row r="19" spans="1:7" x14ac:dyDescent="0.2">
      <c r="A19" s="135" t="s">
        <v>339</v>
      </c>
      <c r="B19" s="134" t="s">
        <v>340</v>
      </c>
      <c r="C19" s="134" t="s">
        <v>426</v>
      </c>
      <c r="D19" s="137">
        <v>2</v>
      </c>
      <c r="E19" s="137">
        <v>2</v>
      </c>
      <c r="F19" s="226">
        <v>200</v>
      </c>
      <c r="G19" s="226">
        <v>300</v>
      </c>
    </row>
    <row r="20" spans="1:7" ht="38.25" x14ac:dyDescent="0.2">
      <c r="A20" s="135" t="s">
        <v>436</v>
      </c>
      <c r="B20" s="134" t="s">
        <v>360</v>
      </c>
      <c r="C20" s="134" t="s">
        <v>427</v>
      </c>
      <c r="D20" s="137">
        <v>2</v>
      </c>
      <c r="E20" s="226">
        <v>4</v>
      </c>
      <c r="F20" s="137" t="s">
        <v>490</v>
      </c>
      <c r="G20" s="226">
        <v>600</v>
      </c>
    </row>
    <row r="21" spans="1:7" ht="38.25" x14ac:dyDescent="0.2">
      <c r="A21" s="135" t="s">
        <v>437</v>
      </c>
      <c r="B21" s="134" t="s">
        <v>361</v>
      </c>
      <c r="C21" s="134" t="s">
        <v>427</v>
      </c>
      <c r="D21" s="137" t="s">
        <v>362</v>
      </c>
      <c r="E21" s="137" t="s">
        <v>370</v>
      </c>
      <c r="F21" s="137" t="s">
        <v>490</v>
      </c>
      <c r="G21" s="226">
        <v>600</v>
      </c>
    </row>
    <row r="22" spans="1:7" x14ac:dyDescent="0.2">
      <c r="A22" s="135" t="s">
        <v>341</v>
      </c>
      <c r="B22" s="134" t="s">
        <v>342</v>
      </c>
      <c r="C22" s="180"/>
      <c r="D22" s="181"/>
      <c r="E22" s="181"/>
    </row>
    <row r="23" spans="1:7" ht="25.5" customHeight="1" x14ac:dyDescent="0.2">
      <c r="A23" s="135" t="s">
        <v>438</v>
      </c>
      <c r="B23" s="134" t="s">
        <v>343</v>
      </c>
      <c r="C23" s="134"/>
      <c r="D23" s="137">
        <v>2</v>
      </c>
      <c r="E23" s="226">
        <v>4</v>
      </c>
      <c r="F23" s="137" t="s">
        <v>439</v>
      </c>
      <c r="G23" s="226">
        <v>400</v>
      </c>
    </row>
    <row r="24" spans="1:7" ht="25.5" x14ac:dyDescent="0.2">
      <c r="A24" s="135" t="s">
        <v>440</v>
      </c>
      <c r="B24" s="134" t="s">
        <v>344</v>
      </c>
      <c r="C24" s="134"/>
      <c r="D24" s="137">
        <v>2</v>
      </c>
      <c r="E24" s="226">
        <v>4</v>
      </c>
      <c r="F24" s="137" t="s">
        <v>439</v>
      </c>
      <c r="G24" s="226">
        <v>400</v>
      </c>
    </row>
    <row r="25" spans="1:7" x14ac:dyDescent="0.2">
      <c r="A25" s="135" t="s">
        <v>345</v>
      </c>
      <c r="B25" s="134" t="s">
        <v>346</v>
      </c>
      <c r="C25" s="134"/>
      <c r="D25" s="137">
        <v>2</v>
      </c>
      <c r="E25" s="226">
        <v>6</v>
      </c>
      <c r="F25" s="137" t="s">
        <v>439</v>
      </c>
      <c r="G25" s="226">
        <v>400</v>
      </c>
    </row>
    <row r="26" spans="1:7" ht="14.25" x14ac:dyDescent="0.2">
      <c r="A26" s="135" t="s">
        <v>347</v>
      </c>
      <c r="B26" s="134" t="s">
        <v>349</v>
      </c>
      <c r="C26" s="136"/>
      <c r="D26" s="137">
        <v>2</v>
      </c>
      <c r="E26" s="226">
        <v>8</v>
      </c>
      <c r="F26" s="137" t="s">
        <v>439</v>
      </c>
      <c r="G26" s="226">
        <v>400</v>
      </c>
    </row>
    <row r="27" spans="1:7" ht="25.5" x14ac:dyDescent="0.2">
      <c r="A27" s="135" t="s">
        <v>348</v>
      </c>
      <c r="B27" s="134" t="s">
        <v>365</v>
      </c>
      <c r="C27" s="134" t="s">
        <v>441</v>
      </c>
      <c r="D27" s="137">
        <v>2</v>
      </c>
      <c r="E27" s="226">
        <v>6</v>
      </c>
      <c r="F27" s="137" t="s">
        <v>439</v>
      </c>
      <c r="G27" s="226">
        <v>400</v>
      </c>
    </row>
    <row r="28" spans="1:7" ht="25.5" x14ac:dyDescent="0.2">
      <c r="A28" s="135" t="s">
        <v>359</v>
      </c>
      <c r="B28" s="134" t="s">
        <v>425</v>
      </c>
      <c r="C28" s="134"/>
      <c r="D28" s="226">
        <v>2</v>
      </c>
      <c r="E28" s="226">
        <v>6</v>
      </c>
      <c r="F28" s="226">
        <v>300</v>
      </c>
      <c r="G28" s="226">
        <v>600</v>
      </c>
    </row>
    <row r="29" spans="1:7" ht="6" customHeight="1" x14ac:dyDescent="0.2">
      <c r="D29" s="131"/>
      <c r="E29" s="131"/>
    </row>
    <row r="30" spans="1:7" x14ac:dyDescent="0.2">
      <c r="A30" s="227">
        <v>7</v>
      </c>
      <c r="B30" s="134" t="s">
        <v>352</v>
      </c>
      <c r="C30" s="134" t="s">
        <v>353</v>
      </c>
      <c r="D30" s="138"/>
      <c r="E30" s="139"/>
    </row>
    <row r="31" spans="1:7" ht="14.25" x14ac:dyDescent="0.2">
      <c r="A31" s="135" t="s">
        <v>350</v>
      </c>
      <c r="B31" s="134" t="s">
        <v>354</v>
      </c>
      <c r="C31" s="136"/>
      <c r="D31" s="137">
        <v>2</v>
      </c>
      <c r="E31" s="226">
        <v>8</v>
      </c>
      <c r="F31" s="226">
        <v>200</v>
      </c>
      <c r="G31" s="226">
        <v>400</v>
      </c>
    </row>
    <row r="32" spans="1:7" ht="14.25" x14ac:dyDescent="0.2">
      <c r="A32" s="135" t="s">
        <v>351</v>
      </c>
      <c r="B32" s="134" t="s">
        <v>355</v>
      </c>
      <c r="C32" s="136"/>
      <c r="D32" s="137">
        <v>2</v>
      </c>
      <c r="E32" s="226">
        <v>10</v>
      </c>
      <c r="F32" s="226">
        <v>200</v>
      </c>
      <c r="G32" s="226">
        <v>400</v>
      </c>
    </row>
    <row r="33" spans="1:7" ht="6" customHeight="1" x14ac:dyDescent="0.2">
      <c r="C33" s="133"/>
      <c r="D33" s="131"/>
      <c r="E33" s="131"/>
    </row>
    <row r="34" spans="1:7" ht="51.75" customHeight="1" x14ac:dyDescent="0.2">
      <c r="A34" s="227">
        <v>8</v>
      </c>
      <c r="B34" s="134" t="s">
        <v>356</v>
      </c>
      <c r="C34" s="176" t="s">
        <v>442</v>
      </c>
      <c r="D34" s="137" t="s">
        <v>443</v>
      </c>
      <c r="E34" s="137" t="s">
        <v>443</v>
      </c>
      <c r="F34" s="137" t="s">
        <v>443</v>
      </c>
      <c r="G34" s="137" t="s">
        <v>443</v>
      </c>
    </row>
    <row r="35" spans="1:7" ht="6" customHeight="1" x14ac:dyDescent="0.2">
      <c r="C35" s="133"/>
      <c r="D35" s="131"/>
      <c r="E35" s="131"/>
    </row>
    <row r="36" spans="1:7" ht="14.25" customHeight="1" x14ac:dyDescent="0.2">
      <c r="A36" s="227">
        <v>9</v>
      </c>
      <c r="B36" s="134" t="s">
        <v>444</v>
      </c>
      <c r="C36" s="134"/>
      <c r="D36" s="137">
        <v>2</v>
      </c>
      <c r="E36" s="226">
        <v>4</v>
      </c>
      <c r="F36" s="226">
        <v>200</v>
      </c>
      <c r="G36" s="226">
        <v>400</v>
      </c>
    </row>
    <row r="37" spans="1:7" ht="6" customHeight="1" x14ac:dyDescent="0.2">
      <c r="D37" s="131"/>
      <c r="E37" s="131"/>
    </row>
    <row r="38" spans="1:7" ht="38.25" customHeight="1" x14ac:dyDescent="0.2">
      <c r="A38" s="227">
        <v>10</v>
      </c>
      <c r="B38" s="134" t="s">
        <v>366</v>
      </c>
      <c r="C38" s="134" t="s">
        <v>445</v>
      </c>
      <c r="D38" s="137" t="s">
        <v>358</v>
      </c>
      <c r="E38" s="137" t="s">
        <v>446</v>
      </c>
      <c r="F38" s="137"/>
      <c r="G38" s="226">
        <v>400</v>
      </c>
    </row>
    <row r="39" spans="1:7" ht="37.5" customHeight="1" x14ac:dyDescent="0.2">
      <c r="B39" s="133" t="s">
        <v>368</v>
      </c>
      <c r="C39" s="324" t="s">
        <v>447</v>
      </c>
      <c r="D39" s="324"/>
      <c r="E39" s="324"/>
    </row>
    <row r="40" spans="1:7" ht="38.25" customHeight="1" x14ac:dyDescent="0.2">
      <c r="B40" s="133" t="s">
        <v>369</v>
      </c>
      <c r="C40" s="325"/>
      <c r="D40"/>
      <c r="E40"/>
    </row>
    <row r="41" spans="1:7" ht="14.25" x14ac:dyDescent="0.2">
      <c r="B41" s="133"/>
      <c r="D41" s="164"/>
      <c r="E41" s="162"/>
    </row>
    <row r="42" spans="1:7" ht="14.25" x14ac:dyDescent="0.2">
      <c r="B42" s="133"/>
      <c r="D42" s="164"/>
      <c r="E42" s="162"/>
    </row>
    <row r="43" spans="1:7" x14ac:dyDescent="0.2">
      <c r="D43" s="165"/>
      <c r="E43" s="162"/>
    </row>
  </sheetData>
  <sheetProtection password="CD42" sheet="1" objects="1" scenarios="1"/>
  <mergeCells count="4">
    <mergeCell ref="D1:E1"/>
    <mergeCell ref="D39:E39"/>
    <mergeCell ref="F1:G1"/>
    <mergeCell ref="C39:C40"/>
  </mergeCells>
  <phoneticPr fontId="0" type="noConversion"/>
  <printOptions horizontalCentered="1" verticalCentered="1"/>
  <pageMargins left="0.19685039370078741" right="0.19685039370078741" top="0.39370078740157483" bottom="0.39370078740157483" header="0.51181102362204722" footer="0.51181102362204722"/>
  <pageSetup paperSize="9" scale="75" orientation="portrait" horizontalDpi="4294967293" r:id="rId1"/>
  <headerFooter alignWithMargins="0">
    <oddFooter>&amp;L&amp;8SW-Bemessung Abscheider_fx-Faktortabelle&amp;C&amp;8Seite &amp;P von &amp;P&amp;R&amp;8Version VII</oddFooter>
  </headerFooter>
  <ignoredErrors>
    <ignoredError sqref="A23:A24 A20:A21"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8"/>
  <sheetViews>
    <sheetView showGridLines="0" view="pageBreakPreview" zoomScaleNormal="75" workbookViewId="0">
      <pane xSplit="5" ySplit="3" topLeftCell="F25" activePane="bottomRight" state="frozen"/>
      <selection activeCell="AB19" sqref="AB19"/>
      <selection pane="topRight" activeCell="AB19" sqref="AB19"/>
      <selection pane="bottomLeft" activeCell="AB19" sqref="AB19"/>
      <selection pane="bottomRight" activeCell="AB19" sqref="AB19"/>
    </sheetView>
  </sheetViews>
  <sheetFormatPr baseColWidth="10" defaultRowHeight="12.75" x14ac:dyDescent="0.2"/>
  <cols>
    <col min="1" max="1" width="36" style="33" bestFit="1" customWidth="1"/>
    <col min="2" max="2" width="38.42578125" style="34" bestFit="1" customWidth="1"/>
    <col min="3" max="3" width="20.28515625" style="34" customWidth="1"/>
    <col min="4" max="4" width="17" style="34" customWidth="1"/>
    <col min="5" max="5" width="36.28515625" style="32" bestFit="1" customWidth="1"/>
  </cols>
  <sheetData>
    <row r="1" spans="1:5" ht="42.75" customHeight="1" x14ac:dyDescent="0.2">
      <c r="A1" s="329" t="s">
        <v>522</v>
      </c>
      <c r="B1" s="330"/>
      <c r="C1" s="330"/>
      <c r="D1" s="330"/>
      <c r="E1" s="330"/>
    </row>
    <row r="2" spans="1:5" ht="12.75" customHeight="1" x14ac:dyDescent="0.2">
      <c r="A2" s="342" t="s">
        <v>131</v>
      </c>
      <c r="B2" s="344" t="s">
        <v>258</v>
      </c>
      <c r="C2" s="344" t="s">
        <v>325</v>
      </c>
      <c r="D2" s="346" t="s">
        <v>132</v>
      </c>
      <c r="E2" s="347"/>
    </row>
    <row r="3" spans="1:5" ht="63.75" x14ac:dyDescent="0.2">
      <c r="A3" s="343"/>
      <c r="B3" s="345"/>
      <c r="C3" s="345"/>
      <c r="D3" s="8" t="s">
        <v>133</v>
      </c>
      <c r="E3" s="9" t="s">
        <v>134</v>
      </c>
    </row>
    <row r="4" spans="1:5" x14ac:dyDescent="0.2">
      <c r="A4" s="10" t="s">
        <v>135</v>
      </c>
      <c r="B4" s="11">
        <v>0.876</v>
      </c>
      <c r="C4" s="11" t="s">
        <v>136</v>
      </c>
      <c r="D4" s="11" t="s">
        <v>137</v>
      </c>
      <c r="E4" s="12" t="s">
        <v>138</v>
      </c>
    </row>
    <row r="5" spans="1:5" ht="22.5" x14ac:dyDescent="0.2">
      <c r="A5" s="10" t="s">
        <v>139</v>
      </c>
      <c r="B5" s="11">
        <v>0.9</v>
      </c>
      <c r="C5" s="11" t="s">
        <v>140</v>
      </c>
      <c r="D5" s="11" t="s">
        <v>141</v>
      </c>
      <c r="E5" s="13" t="s">
        <v>142</v>
      </c>
    </row>
    <row r="6" spans="1:5" x14ac:dyDescent="0.2">
      <c r="A6" s="10" t="s">
        <v>143</v>
      </c>
      <c r="B6" s="11" t="s">
        <v>144</v>
      </c>
      <c r="C6" s="11" t="s">
        <v>140</v>
      </c>
      <c r="D6" s="11" t="s">
        <v>145</v>
      </c>
      <c r="E6" s="14" t="s">
        <v>146</v>
      </c>
    </row>
    <row r="7" spans="1:5" ht="22.5" x14ac:dyDescent="0.2">
      <c r="A7" s="10" t="s">
        <v>326</v>
      </c>
      <c r="B7" s="11">
        <v>0.876</v>
      </c>
      <c r="C7" s="11" t="s">
        <v>140</v>
      </c>
      <c r="D7" s="11" t="s">
        <v>147</v>
      </c>
      <c r="E7" s="15" t="s">
        <v>148</v>
      </c>
    </row>
    <row r="8" spans="1:5" x14ac:dyDescent="0.2">
      <c r="A8" s="10" t="s">
        <v>149</v>
      </c>
      <c r="B8" s="11">
        <v>0.79100000000000004</v>
      </c>
      <c r="C8" s="11" t="s">
        <v>150</v>
      </c>
      <c r="D8" s="11" t="s">
        <v>151</v>
      </c>
      <c r="E8" s="16" t="s">
        <v>152</v>
      </c>
    </row>
    <row r="9" spans="1:5" s="20" customFormat="1" x14ac:dyDescent="0.2">
      <c r="A9" s="17" t="s">
        <v>153</v>
      </c>
      <c r="B9" s="18">
        <v>0.8</v>
      </c>
      <c r="C9" s="18" t="s">
        <v>136</v>
      </c>
      <c r="D9" s="18" t="s">
        <v>152</v>
      </c>
      <c r="E9" s="19" t="s">
        <v>152</v>
      </c>
    </row>
    <row r="10" spans="1:5" x14ac:dyDescent="0.2">
      <c r="A10" s="10" t="s">
        <v>154</v>
      </c>
      <c r="B10" s="11">
        <v>0.81499999999999995</v>
      </c>
      <c r="C10" s="11" t="s">
        <v>140</v>
      </c>
      <c r="D10" s="11" t="s">
        <v>155</v>
      </c>
      <c r="E10" s="15" t="s">
        <v>156</v>
      </c>
    </row>
    <row r="11" spans="1:5" x14ac:dyDescent="0.2">
      <c r="A11" s="10" t="s">
        <v>157</v>
      </c>
      <c r="B11" s="11">
        <v>0.87</v>
      </c>
      <c r="C11" s="11" t="s">
        <v>136</v>
      </c>
      <c r="D11" s="11" t="s">
        <v>158</v>
      </c>
      <c r="E11" s="12" t="s">
        <v>138</v>
      </c>
    </row>
    <row r="12" spans="1:5" x14ac:dyDescent="0.2">
      <c r="A12" s="10" t="s">
        <v>159</v>
      </c>
      <c r="B12" s="11">
        <v>0.81</v>
      </c>
      <c r="C12" s="11" t="s">
        <v>140</v>
      </c>
      <c r="D12" s="11" t="s">
        <v>160</v>
      </c>
      <c r="E12" s="12" t="s">
        <v>138</v>
      </c>
    </row>
    <row r="13" spans="1:5" x14ac:dyDescent="0.2">
      <c r="A13" s="144" t="s">
        <v>161</v>
      </c>
      <c r="B13" s="145" t="s">
        <v>162</v>
      </c>
      <c r="C13" s="145" t="s">
        <v>136</v>
      </c>
      <c r="D13" s="145" t="s">
        <v>163</v>
      </c>
      <c r="E13" s="146" t="s">
        <v>152</v>
      </c>
    </row>
    <row r="14" spans="1:5" x14ac:dyDescent="0.2">
      <c r="A14" s="10" t="s">
        <v>164</v>
      </c>
      <c r="B14" s="11">
        <v>1.03</v>
      </c>
      <c r="C14" s="11" t="s">
        <v>150</v>
      </c>
      <c r="D14" s="11" t="s">
        <v>165</v>
      </c>
      <c r="E14" s="16" t="s">
        <v>152</v>
      </c>
    </row>
    <row r="15" spans="1:5" x14ac:dyDescent="0.2">
      <c r="A15" s="10" t="s">
        <v>327</v>
      </c>
      <c r="B15" s="11">
        <v>0.96799999999999997</v>
      </c>
      <c r="C15" s="11" t="s">
        <v>150</v>
      </c>
      <c r="D15" s="11" t="s">
        <v>166</v>
      </c>
      <c r="E15" s="16" t="s">
        <v>152</v>
      </c>
    </row>
    <row r="16" spans="1:5" x14ac:dyDescent="0.2">
      <c r="A16" s="10" t="s">
        <v>167</v>
      </c>
      <c r="B16" s="11" t="s">
        <v>168</v>
      </c>
      <c r="C16" s="11" t="s">
        <v>136</v>
      </c>
      <c r="D16" s="11" t="s">
        <v>169</v>
      </c>
      <c r="E16" s="12" t="s">
        <v>138</v>
      </c>
    </row>
    <row r="17" spans="1:5" x14ac:dyDescent="0.2">
      <c r="A17" s="10" t="s">
        <v>170</v>
      </c>
      <c r="B17" s="11" t="s">
        <v>171</v>
      </c>
      <c r="C17" s="11" t="s">
        <v>136</v>
      </c>
      <c r="D17" s="11" t="s">
        <v>169</v>
      </c>
      <c r="E17" s="16" t="s">
        <v>152</v>
      </c>
    </row>
    <row r="18" spans="1:5" x14ac:dyDescent="0.2">
      <c r="A18" s="144" t="s">
        <v>172</v>
      </c>
      <c r="B18" s="145">
        <v>0.85</v>
      </c>
      <c r="C18" s="145" t="s">
        <v>136</v>
      </c>
      <c r="D18" s="145" t="s">
        <v>169</v>
      </c>
      <c r="E18" s="146" t="s">
        <v>152</v>
      </c>
    </row>
    <row r="19" spans="1:5" x14ac:dyDescent="0.2">
      <c r="A19" s="10" t="s">
        <v>173</v>
      </c>
      <c r="B19" s="11">
        <v>0.71399999999999997</v>
      </c>
      <c r="C19" s="11" t="s">
        <v>140</v>
      </c>
      <c r="D19" s="11" t="s">
        <v>174</v>
      </c>
      <c r="E19" s="15" t="s">
        <v>175</v>
      </c>
    </row>
    <row r="20" spans="1:5" x14ac:dyDescent="0.2">
      <c r="A20" s="10" t="s">
        <v>176</v>
      </c>
      <c r="B20" s="11">
        <v>1.036</v>
      </c>
      <c r="C20" s="11" t="s">
        <v>150</v>
      </c>
      <c r="D20" s="11" t="s">
        <v>151</v>
      </c>
      <c r="E20" s="12" t="s">
        <v>177</v>
      </c>
    </row>
    <row r="21" spans="1:5" x14ac:dyDescent="0.2">
      <c r="A21" s="10" t="s">
        <v>178</v>
      </c>
      <c r="B21" s="11">
        <v>0.78900000000000003</v>
      </c>
      <c r="C21" s="11" t="s">
        <v>150</v>
      </c>
      <c r="D21" s="11" t="s">
        <v>151</v>
      </c>
      <c r="E21" s="12" t="s">
        <v>177</v>
      </c>
    </row>
    <row r="22" spans="1:5" x14ac:dyDescent="0.2">
      <c r="A22" s="10" t="s">
        <v>179</v>
      </c>
      <c r="B22" s="11">
        <v>0.879</v>
      </c>
      <c r="C22" s="11" t="s">
        <v>140</v>
      </c>
      <c r="D22" s="11" t="s">
        <v>180</v>
      </c>
      <c r="E22" s="21" t="s">
        <v>138</v>
      </c>
    </row>
    <row r="23" spans="1:5" x14ac:dyDescent="0.2">
      <c r="A23" s="10" t="s">
        <v>181</v>
      </c>
      <c r="B23" s="11">
        <v>0.80600000000000005</v>
      </c>
      <c r="C23" s="11" t="s">
        <v>150</v>
      </c>
      <c r="D23" s="11" t="s">
        <v>182</v>
      </c>
      <c r="E23" s="16" t="s">
        <v>152</v>
      </c>
    </row>
    <row r="24" spans="1:5" x14ac:dyDescent="0.2">
      <c r="A24" s="10" t="s">
        <v>183</v>
      </c>
      <c r="B24" s="11" t="s">
        <v>184</v>
      </c>
      <c r="C24" s="11" t="s">
        <v>140</v>
      </c>
      <c r="D24" s="11" t="s">
        <v>185</v>
      </c>
      <c r="E24" s="21" t="s">
        <v>138</v>
      </c>
    </row>
    <row r="25" spans="1:5" x14ac:dyDescent="0.2">
      <c r="A25" s="10" t="s">
        <v>186</v>
      </c>
      <c r="B25" s="11" t="s">
        <v>187</v>
      </c>
      <c r="C25" s="11" t="s">
        <v>140</v>
      </c>
      <c r="D25" s="11" t="s">
        <v>188</v>
      </c>
      <c r="E25" s="21" t="s">
        <v>138</v>
      </c>
    </row>
    <row r="26" spans="1:5" x14ac:dyDescent="0.2">
      <c r="A26" s="144" t="s">
        <v>189</v>
      </c>
      <c r="B26" s="145">
        <v>0.86</v>
      </c>
      <c r="C26" s="145" t="s">
        <v>136</v>
      </c>
      <c r="D26" s="145" t="s">
        <v>169</v>
      </c>
      <c r="E26" s="146" t="s">
        <v>152</v>
      </c>
    </row>
    <row r="27" spans="1:5" x14ac:dyDescent="0.2">
      <c r="A27" s="144" t="s">
        <v>190</v>
      </c>
      <c r="B27" s="145">
        <v>0.87</v>
      </c>
      <c r="C27" s="145" t="s">
        <v>136</v>
      </c>
      <c r="D27" s="145" t="s">
        <v>152</v>
      </c>
      <c r="E27" s="146" t="s">
        <v>152</v>
      </c>
    </row>
    <row r="28" spans="1:5" x14ac:dyDescent="0.2">
      <c r="A28" s="144" t="s">
        <v>191</v>
      </c>
      <c r="B28" s="145">
        <v>0.92</v>
      </c>
      <c r="C28" s="145" t="s">
        <v>136</v>
      </c>
      <c r="D28" s="145" t="s">
        <v>152</v>
      </c>
      <c r="E28" s="146" t="s">
        <v>152</v>
      </c>
    </row>
    <row r="29" spans="1:5" ht="25.5" x14ac:dyDescent="0.2">
      <c r="A29" s="144" t="s">
        <v>192</v>
      </c>
      <c r="B29" s="145" t="s">
        <v>193</v>
      </c>
      <c r="C29" s="147" t="s">
        <v>194</v>
      </c>
      <c r="D29" s="148" t="s">
        <v>169</v>
      </c>
      <c r="E29" s="149" t="s">
        <v>152</v>
      </c>
    </row>
    <row r="30" spans="1:5" x14ac:dyDescent="0.2">
      <c r="A30" s="144" t="s">
        <v>195</v>
      </c>
      <c r="B30" s="145" t="s">
        <v>196</v>
      </c>
      <c r="C30" s="145" t="s">
        <v>136</v>
      </c>
      <c r="D30" s="145" t="s">
        <v>169</v>
      </c>
      <c r="E30" s="146" t="s">
        <v>152</v>
      </c>
    </row>
    <row r="31" spans="1:5" x14ac:dyDescent="0.2">
      <c r="A31" s="10" t="s">
        <v>197</v>
      </c>
      <c r="B31" s="11">
        <v>0.68400000000000005</v>
      </c>
      <c r="C31" s="11" t="s">
        <v>136</v>
      </c>
      <c r="D31" s="11" t="s">
        <v>169</v>
      </c>
      <c r="E31" s="21" t="s">
        <v>138</v>
      </c>
    </row>
    <row r="32" spans="1:5" x14ac:dyDescent="0.2">
      <c r="A32" s="10" t="s">
        <v>198</v>
      </c>
      <c r="B32" s="11">
        <v>0.65900000000000003</v>
      </c>
      <c r="C32" s="11" t="s">
        <v>136</v>
      </c>
      <c r="D32" s="11" t="s">
        <v>169</v>
      </c>
      <c r="E32" s="21" t="s">
        <v>138</v>
      </c>
    </row>
    <row r="33" spans="1:5" x14ac:dyDescent="0.2">
      <c r="A33" s="10" t="s">
        <v>199</v>
      </c>
      <c r="B33" s="11">
        <v>0.81299999999999994</v>
      </c>
      <c r="C33" s="11" t="s">
        <v>140</v>
      </c>
      <c r="D33" s="11" t="s">
        <v>200</v>
      </c>
      <c r="E33" s="16" t="s">
        <v>152</v>
      </c>
    </row>
    <row r="34" spans="1:5" x14ac:dyDescent="0.2">
      <c r="A34" s="10" t="s">
        <v>201</v>
      </c>
      <c r="B34" s="11">
        <v>0.80600000000000005</v>
      </c>
      <c r="C34" s="11" t="s">
        <v>140</v>
      </c>
      <c r="D34" s="11" t="s">
        <v>202</v>
      </c>
      <c r="E34" s="21" t="s">
        <v>203</v>
      </c>
    </row>
    <row r="35" spans="1:5" x14ac:dyDescent="0.2">
      <c r="A35" s="10" t="s">
        <v>204</v>
      </c>
      <c r="B35" s="11">
        <v>0.78500000000000003</v>
      </c>
      <c r="C35" s="11" t="s">
        <v>150</v>
      </c>
      <c r="D35" s="11" t="s">
        <v>151</v>
      </c>
      <c r="E35" s="21" t="s">
        <v>138</v>
      </c>
    </row>
    <row r="36" spans="1:5" x14ac:dyDescent="0.2">
      <c r="A36" s="144" t="s">
        <v>205</v>
      </c>
      <c r="B36" s="150">
        <v>0.8</v>
      </c>
      <c r="C36" s="145" t="s">
        <v>136</v>
      </c>
      <c r="D36" s="145" t="s">
        <v>152</v>
      </c>
      <c r="E36" s="151" t="s">
        <v>206</v>
      </c>
    </row>
    <row r="37" spans="1:5" x14ac:dyDescent="0.2">
      <c r="A37" s="10" t="s">
        <v>207</v>
      </c>
      <c r="B37" s="127"/>
      <c r="C37" s="11"/>
      <c r="D37" s="11"/>
      <c r="E37" s="15"/>
    </row>
    <row r="38" spans="1:5" x14ac:dyDescent="0.2">
      <c r="A38" s="10" t="s">
        <v>208</v>
      </c>
      <c r="B38" s="11"/>
      <c r="C38" s="11"/>
      <c r="D38" s="11"/>
      <c r="E38" s="15"/>
    </row>
    <row r="39" spans="1:5" x14ac:dyDescent="0.2">
      <c r="A39" s="10" t="s">
        <v>209</v>
      </c>
      <c r="B39" s="11"/>
      <c r="C39" s="11"/>
      <c r="D39" s="11"/>
      <c r="E39" s="15"/>
    </row>
    <row r="40" spans="1:5" x14ac:dyDescent="0.2">
      <c r="A40" s="144" t="s">
        <v>210</v>
      </c>
      <c r="B40" s="145" t="s">
        <v>211</v>
      </c>
      <c r="C40" s="145" t="s">
        <v>136</v>
      </c>
      <c r="D40" s="145" t="s">
        <v>169</v>
      </c>
      <c r="E40" s="146" t="s">
        <v>152</v>
      </c>
    </row>
    <row r="41" spans="1:5" x14ac:dyDescent="0.2">
      <c r="A41" s="10" t="s">
        <v>212</v>
      </c>
      <c r="B41" s="11" t="s">
        <v>213</v>
      </c>
      <c r="C41" s="11" t="s">
        <v>150</v>
      </c>
      <c r="D41" s="11" t="s">
        <v>151</v>
      </c>
      <c r="E41" s="21" t="s">
        <v>138</v>
      </c>
    </row>
    <row r="42" spans="1:5" x14ac:dyDescent="0.2">
      <c r="A42" s="10" t="s">
        <v>214</v>
      </c>
      <c r="B42" s="11" t="s">
        <v>215</v>
      </c>
      <c r="C42" s="11" t="s">
        <v>136</v>
      </c>
      <c r="D42" s="11" t="s">
        <v>152</v>
      </c>
      <c r="E42" s="16" t="s">
        <v>152</v>
      </c>
    </row>
    <row r="43" spans="1:5" x14ac:dyDescent="0.2">
      <c r="A43" s="144" t="s">
        <v>216</v>
      </c>
      <c r="B43" s="145" t="s">
        <v>217</v>
      </c>
      <c r="C43" s="145" t="s">
        <v>136</v>
      </c>
      <c r="D43" s="145" t="s">
        <v>152</v>
      </c>
      <c r="E43" s="152" t="s">
        <v>218</v>
      </c>
    </row>
    <row r="44" spans="1:5" x14ac:dyDescent="0.2">
      <c r="A44" s="144" t="s">
        <v>219</v>
      </c>
      <c r="B44" s="145" t="s">
        <v>220</v>
      </c>
      <c r="C44" s="145" t="s">
        <v>136</v>
      </c>
      <c r="D44" s="145" t="s">
        <v>169</v>
      </c>
      <c r="E44" s="146" t="s">
        <v>152</v>
      </c>
    </row>
    <row r="45" spans="1:5" x14ac:dyDescent="0.2">
      <c r="A45" s="10" t="s">
        <v>221</v>
      </c>
      <c r="B45" s="11" t="s">
        <v>222</v>
      </c>
      <c r="C45" s="11" t="s">
        <v>136</v>
      </c>
      <c r="D45" s="11" t="s">
        <v>223</v>
      </c>
      <c r="E45" s="21" t="s">
        <v>138</v>
      </c>
    </row>
    <row r="46" spans="1:5" x14ac:dyDescent="0.2">
      <c r="A46" s="144" t="s">
        <v>224</v>
      </c>
      <c r="B46" s="145" t="s">
        <v>225</v>
      </c>
      <c r="C46" s="145" t="s">
        <v>136</v>
      </c>
      <c r="D46" s="145" t="s">
        <v>152</v>
      </c>
      <c r="E46" s="152" t="s">
        <v>138</v>
      </c>
    </row>
    <row r="47" spans="1:5" x14ac:dyDescent="0.2">
      <c r="A47" s="144" t="s">
        <v>226</v>
      </c>
      <c r="B47" s="145" t="s">
        <v>227</v>
      </c>
      <c r="C47" s="145" t="s">
        <v>136</v>
      </c>
      <c r="D47" s="145" t="s">
        <v>152</v>
      </c>
      <c r="E47" s="152" t="s">
        <v>138</v>
      </c>
    </row>
    <row r="48" spans="1:5" ht="38.25" x14ac:dyDescent="0.2">
      <c r="A48" s="144" t="s">
        <v>228</v>
      </c>
      <c r="B48" s="145">
        <v>0.78</v>
      </c>
      <c r="C48" s="145" t="s">
        <v>251</v>
      </c>
      <c r="D48" s="145" t="s">
        <v>152</v>
      </c>
      <c r="E48" s="152" t="s">
        <v>138</v>
      </c>
    </row>
    <row r="49" spans="1:5" x14ac:dyDescent="0.2">
      <c r="A49" s="144" t="s">
        <v>229</v>
      </c>
      <c r="B49" s="150">
        <v>0.8</v>
      </c>
      <c r="C49" s="145" t="s">
        <v>136</v>
      </c>
      <c r="D49" s="145" t="s">
        <v>169</v>
      </c>
      <c r="E49" s="146" t="s">
        <v>152</v>
      </c>
    </row>
    <row r="50" spans="1:5" x14ac:dyDescent="0.2">
      <c r="A50" s="10" t="s">
        <v>230</v>
      </c>
      <c r="B50" s="11"/>
      <c r="C50" s="11"/>
      <c r="D50" s="11"/>
      <c r="E50" s="15"/>
    </row>
    <row r="51" spans="1:5" x14ac:dyDescent="0.2">
      <c r="A51" s="10" t="s">
        <v>231</v>
      </c>
      <c r="B51" s="11" t="s">
        <v>232</v>
      </c>
      <c r="C51" s="11" t="s">
        <v>136</v>
      </c>
      <c r="D51" s="11" t="s">
        <v>233</v>
      </c>
      <c r="E51" s="21" t="s">
        <v>138</v>
      </c>
    </row>
    <row r="52" spans="1:5" x14ac:dyDescent="0.2">
      <c r="A52" s="10" t="s">
        <v>234</v>
      </c>
      <c r="B52" s="11">
        <v>0.80400000000000005</v>
      </c>
      <c r="C52" s="11" t="s">
        <v>150</v>
      </c>
      <c r="D52" s="11" t="s">
        <v>151</v>
      </c>
      <c r="E52" s="16" t="s">
        <v>152</v>
      </c>
    </row>
    <row r="53" spans="1:5" x14ac:dyDescent="0.2">
      <c r="A53" s="22" t="s">
        <v>235</v>
      </c>
      <c r="B53" s="23">
        <v>0.88</v>
      </c>
      <c r="C53" s="23" t="s">
        <v>136</v>
      </c>
      <c r="D53" s="23" t="s">
        <v>236</v>
      </c>
      <c r="E53" s="16" t="s">
        <v>152</v>
      </c>
    </row>
    <row r="54" spans="1:5" x14ac:dyDescent="0.2">
      <c r="A54" s="22" t="s">
        <v>237</v>
      </c>
      <c r="B54" s="23" t="s">
        <v>238</v>
      </c>
      <c r="C54" s="23" t="s">
        <v>140</v>
      </c>
      <c r="D54" s="23" t="s">
        <v>152</v>
      </c>
      <c r="E54" s="24" t="s">
        <v>152</v>
      </c>
    </row>
    <row r="55" spans="1:5" x14ac:dyDescent="0.2">
      <c r="A55" s="153" t="s">
        <v>239</v>
      </c>
      <c r="B55" s="154" t="s">
        <v>240</v>
      </c>
      <c r="C55" s="154" t="s">
        <v>136</v>
      </c>
      <c r="D55" s="154" t="s">
        <v>169</v>
      </c>
      <c r="E55" s="146" t="s">
        <v>152</v>
      </c>
    </row>
    <row r="56" spans="1:5" x14ac:dyDescent="0.2">
      <c r="A56" s="22" t="s">
        <v>241</v>
      </c>
      <c r="B56" s="23" t="s">
        <v>242</v>
      </c>
      <c r="C56" s="23" t="s">
        <v>136</v>
      </c>
      <c r="D56" s="23" t="s">
        <v>169</v>
      </c>
      <c r="E56" s="21" t="s">
        <v>138</v>
      </c>
    </row>
    <row r="57" spans="1:5" x14ac:dyDescent="0.2">
      <c r="A57" s="25" t="s">
        <v>243</v>
      </c>
      <c r="B57" s="26"/>
      <c r="C57" s="23"/>
      <c r="D57" s="26" t="s">
        <v>152</v>
      </c>
      <c r="E57" s="27" t="s">
        <v>152</v>
      </c>
    </row>
    <row r="58" spans="1:5" x14ac:dyDescent="0.2">
      <c r="A58" s="155" t="s">
        <v>244</v>
      </c>
      <c r="B58" s="331">
        <v>0.82</v>
      </c>
      <c r="C58" s="156"/>
      <c r="D58" s="334" t="s">
        <v>152</v>
      </c>
      <c r="E58" s="337"/>
    </row>
    <row r="59" spans="1:5" x14ac:dyDescent="0.2">
      <c r="A59" s="155" t="s">
        <v>245</v>
      </c>
      <c r="B59" s="332"/>
      <c r="C59" s="156" t="s">
        <v>136</v>
      </c>
      <c r="D59" s="335"/>
      <c r="E59" s="338"/>
    </row>
    <row r="60" spans="1:5" x14ac:dyDescent="0.2">
      <c r="A60" s="155" t="s">
        <v>246</v>
      </c>
      <c r="B60" s="332"/>
      <c r="C60" s="156" t="s">
        <v>150</v>
      </c>
      <c r="D60" s="335"/>
      <c r="E60" s="338"/>
    </row>
    <row r="61" spans="1:5" x14ac:dyDescent="0.2">
      <c r="A61" s="157" t="s">
        <v>247</v>
      </c>
      <c r="B61" s="333"/>
      <c r="C61" s="158"/>
      <c r="D61" s="336"/>
      <c r="E61" s="339"/>
    </row>
    <row r="62" spans="1:5" x14ac:dyDescent="0.2">
      <c r="A62" s="22" t="s">
        <v>248</v>
      </c>
      <c r="B62" s="23" t="s">
        <v>249</v>
      </c>
      <c r="C62" s="23" t="s">
        <v>136</v>
      </c>
      <c r="D62" s="28" t="s">
        <v>163</v>
      </c>
      <c r="E62" s="29"/>
    </row>
    <row r="63" spans="1:5" s="185" customFormat="1" ht="24.95" customHeight="1" x14ac:dyDescent="0.2">
      <c r="A63" s="228" t="s">
        <v>528</v>
      </c>
      <c r="B63" s="229" t="s">
        <v>542</v>
      </c>
      <c r="C63" s="230"/>
      <c r="D63" s="231"/>
      <c r="E63" s="232" t="s">
        <v>525</v>
      </c>
    </row>
    <row r="64" spans="1:5" s="185" customFormat="1" ht="24.95" customHeight="1" x14ac:dyDescent="0.2">
      <c r="A64" s="228" t="s">
        <v>529</v>
      </c>
      <c r="B64" s="229" t="s">
        <v>543</v>
      </c>
      <c r="C64" s="230"/>
      <c r="D64" s="231"/>
      <c r="E64" s="232" t="s">
        <v>526</v>
      </c>
    </row>
    <row r="65" spans="1:5" s="185" customFormat="1" ht="24.95" customHeight="1" x14ac:dyDescent="0.2">
      <c r="A65" s="228" t="s">
        <v>530</v>
      </c>
      <c r="B65" s="229" t="s">
        <v>544</v>
      </c>
      <c r="C65" s="230"/>
      <c r="D65" s="231"/>
      <c r="E65" s="232" t="s">
        <v>527</v>
      </c>
    </row>
    <row r="66" spans="1:5" s="185" customFormat="1" ht="24.95" customHeight="1" x14ac:dyDescent="0.2">
      <c r="A66" s="228" t="s">
        <v>531</v>
      </c>
      <c r="B66" s="229" t="s">
        <v>545</v>
      </c>
      <c r="C66" s="230"/>
      <c r="D66" s="231"/>
      <c r="E66" s="233" t="s">
        <v>532</v>
      </c>
    </row>
    <row r="67" spans="1:5" x14ac:dyDescent="0.2">
      <c r="A67" s="340" t="s">
        <v>250</v>
      </c>
      <c r="B67" s="341"/>
      <c r="C67" s="341"/>
      <c r="D67" s="341"/>
      <c r="E67" s="341"/>
    </row>
    <row r="68" spans="1:5" x14ac:dyDescent="0.2">
      <c r="A68" s="234" t="s">
        <v>546</v>
      </c>
      <c r="B68" s="31"/>
      <c r="C68" s="31"/>
      <c r="D68" s="31"/>
    </row>
    <row r="69" spans="1:5" x14ac:dyDescent="0.2">
      <c r="A69" s="326" t="s">
        <v>371</v>
      </c>
      <c r="B69" s="327"/>
      <c r="C69" s="327"/>
      <c r="D69" s="327"/>
      <c r="E69" s="327"/>
    </row>
    <row r="70" spans="1:5" x14ac:dyDescent="0.2">
      <c r="A70" s="328"/>
      <c r="B70" s="328"/>
      <c r="C70" s="328"/>
      <c r="D70" s="328"/>
      <c r="E70" s="328"/>
    </row>
    <row r="71" spans="1:5" x14ac:dyDescent="0.2">
      <c r="A71" s="328"/>
      <c r="B71" s="328"/>
      <c r="C71" s="328"/>
      <c r="D71" s="328"/>
      <c r="E71" s="328"/>
    </row>
    <row r="72" spans="1:5" x14ac:dyDescent="0.2">
      <c r="A72" s="328"/>
      <c r="B72" s="328"/>
      <c r="C72" s="328"/>
      <c r="D72" s="328"/>
      <c r="E72" s="328"/>
    </row>
    <row r="73" spans="1:5" x14ac:dyDescent="0.2">
      <c r="A73" s="30"/>
      <c r="B73" s="31"/>
      <c r="C73" s="31"/>
      <c r="D73" s="31"/>
      <c r="E73" s="162"/>
    </row>
    <row r="74" spans="1:5" x14ac:dyDescent="0.2">
      <c r="A74" s="30"/>
      <c r="B74" s="31"/>
      <c r="C74" s="31"/>
      <c r="D74" s="31"/>
    </row>
    <row r="75" spans="1:5" x14ac:dyDescent="0.2">
      <c r="A75" s="30"/>
      <c r="B75" s="31"/>
      <c r="C75" s="31"/>
      <c r="D75" s="31"/>
    </row>
    <row r="76" spans="1:5" x14ac:dyDescent="0.2">
      <c r="A76" s="30"/>
      <c r="B76" s="31"/>
      <c r="C76" s="31"/>
      <c r="D76" s="31"/>
    </row>
    <row r="77" spans="1:5" x14ac:dyDescent="0.2">
      <c r="A77" s="30"/>
      <c r="B77" s="31"/>
      <c r="C77" s="31"/>
      <c r="D77" s="31"/>
    </row>
    <row r="78" spans="1:5" x14ac:dyDescent="0.2">
      <c r="A78" s="30"/>
      <c r="B78" s="31"/>
      <c r="C78" s="31"/>
      <c r="D78" s="31"/>
    </row>
    <row r="79" spans="1:5" x14ac:dyDescent="0.2">
      <c r="A79" s="30"/>
      <c r="B79" s="31"/>
      <c r="C79" s="31"/>
      <c r="D79" s="31"/>
    </row>
    <row r="80" spans="1:5" x14ac:dyDescent="0.2">
      <c r="A80" s="30"/>
      <c r="B80" s="31"/>
      <c r="C80" s="31"/>
      <c r="D80" s="31"/>
    </row>
    <row r="81" spans="1:4" x14ac:dyDescent="0.2">
      <c r="A81" s="30"/>
      <c r="B81" s="31"/>
      <c r="C81" s="31"/>
      <c r="D81" s="31"/>
    </row>
    <row r="82" spans="1:4" x14ac:dyDescent="0.2">
      <c r="A82" s="30"/>
      <c r="B82" s="31"/>
      <c r="C82" s="31"/>
      <c r="D82" s="31"/>
    </row>
    <row r="83" spans="1:4" x14ac:dyDescent="0.2">
      <c r="A83" s="30"/>
      <c r="B83" s="31"/>
      <c r="C83" s="31"/>
      <c r="D83" s="31"/>
    </row>
    <row r="84" spans="1:4" x14ac:dyDescent="0.2">
      <c r="A84" s="30"/>
      <c r="B84" s="31"/>
      <c r="C84" s="31"/>
      <c r="D84" s="31"/>
    </row>
    <row r="85" spans="1:4" x14ac:dyDescent="0.2">
      <c r="A85" s="30"/>
      <c r="B85" s="31"/>
      <c r="C85" s="31"/>
      <c r="D85" s="31"/>
    </row>
    <row r="86" spans="1:4" x14ac:dyDescent="0.2">
      <c r="A86" s="30"/>
      <c r="B86" s="31"/>
      <c r="C86" s="31"/>
      <c r="D86" s="31"/>
    </row>
    <row r="87" spans="1:4" x14ac:dyDescent="0.2">
      <c r="A87" s="30"/>
      <c r="B87" s="31"/>
      <c r="C87" s="31"/>
      <c r="D87" s="31"/>
    </row>
    <row r="88" spans="1:4" x14ac:dyDescent="0.2">
      <c r="A88" s="30"/>
      <c r="B88" s="31"/>
      <c r="C88" s="31"/>
      <c r="D88" s="31"/>
    </row>
    <row r="89" spans="1:4" x14ac:dyDescent="0.2">
      <c r="A89" s="30"/>
      <c r="B89" s="31"/>
      <c r="C89" s="31"/>
      <c r="D89" s="31"/>
    </row>
    <row r="90" spans="1:4" x14ac:dyDescent="0.2">
      <c r="A90" s="30"/>
      <c r="B90" s="31"/>
      <c r="C90" s="31"/>
      <c r="D90" s="31"/>
    </row>
    <row r="91" spans="1:4" x14ac:dyDescent="0.2">
      <c r="A91" s="30"/>
      <c r="B91" s="31"/>
      <c r="C91" s="31"/>
      <c r="D91" s="31"/>
    </row>
    <row r="92" spans="1:4" x14ac:dyDescent="0.2">
      <c r="A92" s="30"/>
      <c r="B92" s="31"/>
      <c r="C92" s="31"/>
      <c r="D92" s="31"/>
    </row>
    <row r="93" spans="1:4" x14ac:dyDescent="0.2">
      <c r="A93" s="30"/>
      <c r="B93" s="31"/>
      <c r="C93" s="31"/>
      <c r="D93" s="31"/>
    </row>
    <row r="94" spans="1:4" x14ac:dyDescent="0.2">
      <c r="A94" s="30"/>
      <c r="B94" s="31"/>
      <c r="C94" s="31"/>
      <c r="D94" s="31"/>
    </row>
    <row r="95" spans="1:4" x14ac:dyDescent="0.2">
      <c r="A95" s="30"/>
      <c r="B95" s="31"/>
      <c r="C95" s="31"/>
      <c r="D95" s="31"/>
    </row>
    <row r="96" spans="1:4" x14ac:dyDescent="0.2">
      <c r="A96" s="30"/>
      <c r="B96" s="31"/>
      <c r="C96" s="31"/>
      <c r="D96" s="31"/>
    </row>
    <row r="97" spans="1:4" x14ac:dyDescent="0.2">
      <c r="A97" s="30"/>
      <c r="B97" s="31"/>
      <c r="C97" s="31"/>
      <c r="D97" s="31"/>
    </row>
    <row r="98" spans="1:4" x14ac:dyDescent="0.2">
      <c r="A98" s="30"/>
      <c r="B98" s="31"/>
      <c r="C98" s="31"/>
      <c r="D98" s="31"/>
    </row>
  </sheetData>
  <sheetProtection password="CD42" sheet="1" objects="1" scenarios="1"/>
  <mergeCells count="10">
    <mergeCell ref="A69:E72"/>
    <mergeCell ref="A1:E1"/>
    <mergeCell ref="B58:B61"/>
    <mergeCell ref="D58:D61"/>
    <mergeCell ref="E58:E61"/>
    <mergeCell ref="A67:E67"/>
    <mergeCell ref="A2:A3"/>
    <mergeCell ref="B2:B3"/>
    <mergeCell ref="C2:C3"/>
    <mergeCell ref="D2:E2"/>
  </mergeCells>
  <phoneticPr fontId="0" type="noConversion"/>
  <printOptions horizontalCentered="1"/>
  <pageMargins left="0.39370078740157483" right="0.39370078740157483" top="0.98425196850393704" bottom="0.98425196850393704" header="0.51181102362204722" footer="0.51181102362204722"/>
  <pageSetup paperSize="9" scale="83" fitToHeight="2" orientation="landscape" horizontalDpi="360" verticalDpi="360" r:id="rId1"/>
  <headerFooter alignWithMargins="0">
    <oddFooter>&amp;L&amp;8SW-Bemessung Abscheider_Dichtetabelle&amp;C&amp;8Seite &amp;P von &amp;N&amp;R&amp;8Version VII</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4"/>
  <sheetViews>
    <sheetView showGridLines="0" tabSelected="1" topLeftCell="A89" zoomScaleNormal="100" zoomScaleSheetLayoutView="100" workbookViewId="0">
      <selection activeCell="AU107" sqref="AU107"/>
    </sheetView>
  </sheetViews>
  <sheetFormatPr baseColWidth="10" defaultRowHeight="12.75" x14ac:dyDescent="0.2"/>
  <cols>
    <col min="1" max="1" width="5.7109375" style="4" customWidth="1"/>
    <col min="2" max="2" width="6.28515625" style="4" customWidth="1"/>
    <col min="3" max="3" width="5.140625" style="4" customWidth="1"/>
    <col min="4" max="4" width="5.7109375" style="4" customWidth="1"/>
    <col min="5" max="5" width="8.140625" style="4" customWidth="1"/>
    <col min="6" max="6" width="8.85546875" style="4" customWidth="1"/>
    <col min="7" max="7" width="6.28515625" style="4" customWidth="1"/>
    <col min="8" max="8" width="5.7109375" style="4" customWidth="1"/>
    <col min="9" max="9" width="6.28515625" style="4" customWidth="1"/>
    <col min="10" max="10" width="9.28515625" style="4" bestFit="1" customWidth="1"/>
    <col min="11" max="11" width="6.28515625" style="4" customWidth="1"/>
    <col min="12" max="12" width="5.5703125" style="4" customWidth="1"/>
    <col min="13" max="13" width="20.85546875" style="4" bestFit="1" customWidth="1"/>
    <col min="14" max="14" width="5.85546875" style="4" customWidth="1"/>
    <col min="15" max="15" width="9.28515625" style="4" customWidth="1"/>
    <col min="16" max="16" width="1.5703125" style="4" customWidth="1"/>
    <col min="17" max="17" width="5.7109375" style="4" hidden="1" customWidth="1"/>
    <col min="18" max="18" width="33.7109375" style="4" hidden="1" customWidth="1"/>
    <col min="19" max="24" width="5.7109375" style="4" hidden="1" customWidth="1"/>
    <col min="25" max="28" width="11.5703125" style="4" hidden="1" customWidth="1"/>
    <col min="29" max="30" width="11.85546875" style="4" hidden="1" customWidth="1"/>
    <col min="31" max="31" width="11.7109375" style="4" hidden="1" customWidth="1"/>
    <col min="32" max="34" width="12.7109375" style="4" hidden="1" customWidth="1"/>
    <col min="35" max="35" width="17.140625" style="4" hidden="1" customWidth="1"/>
    <col min="36" max="37" width="11.7109375" style="4" hidden="1" customWidth="1"/>
    <col min="38" max="42" width="0" style="4" hidden="1" customWidth="1"/>
    <col min="43" max="16384" width="11.42578125" style="4"/>
  </cols>
  <sheetData>
    <row r="1" spans="1:16" ht="15.75" customHeight="1" x14ac:dyDescent="0.2">
      <c r="A1"/>
      <c r="B1" s="362" t="s">
        <v>272</v>
      </c>
      <c r="C1" s="363"/>
      <c r="D1" s="364"/>
      <c r="E1" s="350" t="str">
        <f>IF(Eingabetabelle!D1="","",Eingabetabelle!D1)</f>
        <v/>
      </c>
      <c r="F1" s="351"/>
      <c r="G1" s="351"/>
      <c r="H1" s="351"/>
      <c r="I1" s="351"/>
      <c r="J1" s="351"/>
      <c r="K1" s="351"/>
      <c r="L1" s="351"/>
      <c r="M1" s="351"/>
      <c r="N1" s="352"/>
      <c r="O1" s="356"/>
      <c r="P1" s="357"/>
    </row>
    <row r="2" spans="1:16" ht="15.75" customHeight="1" x14ac:dyDescent="0.2">
      <c r="A2"/>
      <c r="B2" s="365"/>
      <c r="C2" s="366"/>
      <c r="D2" s="367"/>
      <c r="E2" s="353"/>
      <c r="F2" s="354"/>
      <c r="G2" s="354"/>
      <c r="H2" s="354"/>
      <c r="I2" s="354"/>
      <c r="J2" s="354"/>
      <c r="K2" s="354"/>
      <c r="L2" s="354"/>
      <c r="M2" s="354"/>
      <c r="N2" s="355"/>
      <c r="O2" s="358"/>
      <c r="P2" s="359"/>
    </row>
    <row r="3" spans="1:16" ht="24.75" customHeight="1" x14ac:dyDescent="0.25">
      <c r="A3" s="38"/>
      <c r="B3" s="49" t="s">
        <v>27</v>
      </c>
      <c r="C3" s="63" t="s">
        <v>273</v>
      </c>
      <c r="D3" s="64"/>
      <c r="E3" s="64"/>
      <c r="F3" s="64"/>
      <c r="G3" s="65"/>
      <c r="H3" s="65"/>
      <c r="I3" s="64"/>
      <c r="J3" s="64"/>
      <c r="K3" s="64"/>
      <c r="L3" s="64"/>
      <c r="M3" s="64"/>
      <c r="N3" s="64"/>
      <c r="O3" s="360"/>
      <c r="P3" s="361"/>
    </row>
    <row r="4" spans="1:16" x14ac:dyDescent="0.2">
      <c r="A4" s="38"/>
      <c r="B4" s="66"/>
      <c r="C4" s="55"/>
      <c r="D4" s="55"/>
      <c r="E4" s="55"/>
      <c r="F4" s="55"/>
      <c r="G4" s="55"/>
      <c r="H4" s="55"/>
      <c r="I4" s="55"/>
      <c r="J4" s="55"/>
      <c r="K4" s="55"/>
      <c r="L4" s="55"/>
      <c r="M4" s="55"/>
      <c r="N4" s="55"/>
      <c r="O4" s="55"/>
      <c r="P4" s="67"/>
    </row>
    <row r="5" spans="1:16" ht="15" x14ac:dyDescent="0.2">
      <c r="A5" s="38"/>
      <c r="B5" s="49" t="s">
        <v>28</v>
      </c>
      <c r="C5" s="68" t="s">
        <v>29</v>
      </c>
      <c r="D5" s="68"/>
      <c r="E5" s="68"/>
      <c r="F5" s="68"/>
      <c r="G5" s="68"/>
      <c r="H5" s="68"/>
      <c r="I5" s="68"/>
      <c r="J5" s="55"/>
      <c r="K5" s="55"/>
      <c r="L5" s="55"/>
      <c r="M5" s="55"/>
      <c r="N5" s="55"/>
      <c r="O5" s="55"/>
      <c r="P5" s="67"/>
    </row>
    <row r="6" spans="1:16" x14ac:dyDescent="0.2">
      <c r="A6" s="38"/>
      <c r="B6" s="66"/>
      <c r="C6" s="55"/>
      <c r="D6" s="55"/>
      <c r="E6" s="55"/>
      <c r="F6" s="55"/>
      <c r="G6" s="55"/>
      <c r="H6" s="55"/>
      <c r="I6" s="55"/>
      <c r="J6" s="55"/>
      <c r="K6" s="55"/>
      <c r="L6" s="55"/>
      <c r="M6" s="40"/>
      <c r="N6" s="40"/>
      <c r="O6" s="55"/>
      <c r="P6" s="67"/>
    </row>
    <row r="7" spans="1:16" ht="18" x14ac:dyDescent="0.3">
      <c r="A7" s="38"/>
      <c r="B7" s="69"/>
      <c r="C7" s="70" t="s">
        <v>30</v>
      </c>
      <c r="D7" s="50" t="s">
        <v>31</v>
      </c>
      <c r="E7" s="50" t="s">
        <v>32</v>
      </c>
      <c r="F7" s="50" t="s">
        <v>104</v>
      </c>
      <c r="G7" s="50" t="s">
        <v>33</v>
      </c>
      <c r="H7" s="50" t="s">
        <v>102</v>
      </c>
      <c r="I7" s="50" t="s">
        <v>34</v>
      </c>
      <c r="J7" s="50" t="s">
        <v>103</v>
      </c>
      <c r="K7" s="50" t="s">
        <v>35</v>
      </c>
      <c r="L7" s="50" t="s">
        <v>34</v>
      </c>
      <c r="M7" s="50" t="s">
        <v>105</v>
      </c>
      <c r="N7" s="184" t="s">
        <v>34</v>
      </c>
      <c r="O7" s="182" t="s">
        <v>491</v>
      </c>
      <c r="P7" s="53"/>
    </row>
    <row r="8" spans="1:16" ht="6" customHeight="1" x14ac:dyDescent="0.2">
      <c r="A8" s="38"/>
      <c r="B8" s="69"/>
      <c r="C8" s="50"/>
      <c r="D8" s="50"/>
      <c r="E8" s="50"/>
      <c r="F8" s="50"/>
      <c r="G8" s="50"/>
      <c r="H8" s="50"/>
      <c r="I8" s="50"/>
      <c r="J8" s="50"/>
      <c r="K8" s="50"/>
      <c r="L8" s="50"/>
      <c r="M8" s="50"/>
      <c r="N8" s="50"/>
      <c r="O8" s="51"/>
      <c r="P8" s="53"/>
    </row>
    <row r="9" spans="1:16" ht="15" x14ac:dyDescent="0.2">
      <c r="A9" s="38"/>
      <c r="B9" s="69"/>
      <c r="C9" s="50"/>
      <c r="D9" s="40" t="s">
        <v>30</v>
      </c>
      <c r="E9" s="40" t="s">
        <v>93</v>
      </c>
      <c r="F9" s="370" t="s">
        <v>94</v>
      </c>
      <c r="G9" s="370"/>
      <c r="H9" s="370"/>
      <c r="I9" s="370"/>
      <c r="J9" s="370"/>
      <c r="K9" s="370"/>
      <c r="L9" s="370"/>
      <c r="M9" s="370"/>
      <c r="N9" s="40"/>
      <c r="O9" s="55"/>
      <c r="P9" s="53"/>
    </row>
    <row r="10" spans="1:16" ht="15.75" x14ac:dyDescent="0.25">
      <c r="A10" s="38"/>
      <c r="B10" s="69"/>
      <c r="C10" s="50"/>
      <c r="D10" s="40" t="s">
        <v>106</v>
      </c>
      <c r="E10" s="40" t="s">
        <v>93</v>
      </c>
      <c r="F10" s="370" t="s">
        <v>374</v>
      </c>
      <c r="G10" s="370"/>
      <c r="H10" s="370"/>
      <c r="I10" s="370"/>
      <c r="J10" s="370"/>
      <c r="K10" s="370"/>
      <c r="L10" s="370"/>
      <c r="M10" s="370"/>
      <c r="N10" s="40"/>
      <c r="O10" s="55"/>
      <c r="P10" s="53"/>
    </row>
    <row r="11" spans="1:16" ht="15.75" x14ac:dyDescent="0.25">
      <c r="A11" s="38"/>
      <c r="B11" s="69"/>
      <c r="C11" s="50"/>
      <c r="D11" s="40" t="s">
        <v>107</v>
      </c>
      <c r="E11" s="40" t="s">
        <v>93</v>
      </c>
      <c r="F11" s="370" t="s">
        <v>95</v>
      </c>
      <c r="G11" s="370"/>
      <c r="H11" s="370"/>
      <c r="I11" s="370"/>
      <c r="J11" s="370"/>
      <c r="K11" s="370"/>
      <c r="L11" s="370"/>
      <c r="M11" s="370"/>
      <c r="N11" s="370"/>
      <c r="O11" s="370"/>
      <c r="P11" s="53"/>
    </row>
    <row r="12" spans="1:16" ht="15.75" x14ac:dyDescent="0.25">
      <c r="A12" s="38"/>
      <c r="B12" s="69"/>
      <c r="C12" s="50"/>
      <c r="D12" s="40" t="s">
        <v>108</v>
      </c>
      <c r="E12" s="40" t="s">
        <v>93</v>
      </c>
      <c r="F12" s="370" t="s">
        <v>386</v>
      </c>
      <c r="G12" s="370"/>
      <c r="H12" s="370"/>
      <c r="I12" s="370"/>
      <c r="J12" s="370"/>
      <c r="K12" s="370"/>
      <c r="L12" s="370"/>
      <c r="M12" s="370"/>
      <c r="N12" s="40"/>
      <c r="O12" s="55"/>
      <c r="P12" s="53"/>
    </row>
    <row r="13" spans="1:16" ht="15.75" x14ac:dyDescent="0.25">
      <c r="A13" s="38"/>
      <c r="B13" s="69"/>
      <c r="C13" s="50"/>
      <c r="D13" s="40" t="s">
        <v>109</v>
      </c>
      <c r="E13" s="40" t="s">
        <v>93</v>
      </c>
      <c r="F13" s="370" t="s">
        <v>96</v>
      </c>
      <c r="G13" s="370"/>
      <c r="H13" s="370"/>
      <c r="I13" s="370"/>
      <c r="J13" s="370"/>
      <c r="K13" s="370"/>
      <c r="L13" s="370"/>
      <c r="M13" s="370"/>
      <c r="N13" s="40"/>
      <c r="O13" s="55"/>
      <c r="P13" s="53"/>
    </row>
    <row r="14" spans="1:16" ht="15.75" x14ac:dyDescent="0.25">
      <c r="A14" s="38"/>
      <c r="B14" s="69"/>
      <c r="C14" s="50"/>
      <c r="D14" s="183" t="s">
        <v>493</v>
      </c>
      <c r="E14" s="183" t="s">
        <v>93</v>
      </c>
      <c r="F14" s="374" t="s">
        <v>492</v>
      </c>
      <c r="G14" s="374"/>
      <c r="H14" s="374"/>
      <c r="I14" s="374"/>
      <c r="J14" s="374"/>
      <c r="K14" s="374"/>
      <c r="L14" s="374"/>
      <c r="M14" s="374"/>
      <c r="N14" s="40"/>
      <c r="O14" s="55"/>
      <c r="P14" s="53"/>
    </row>
    <row r="15" spans="1:16" ht="6" customHeight="1" x14ac:dyDescent="0.2">
      <c r="A15" s="38"/>
      <c r="B15" s="69"/>
      <c r="C15" s="50"/>
      <c r="D15" s="50"/>
      <c r="E15" s="50"/>
      <c r="F15" s="50"/>
      <c r="G15" s="50"/>
      <c r="H15" s="50"/>
      <c r="I15" s="50"/>
      <c r="J15" s="50"/>
      <c r="K15" s="50"/>
      <c r="L15" s="50"/>
      <c r="M15" s="50"/>
      <c r="N15" s="50"/>
      <c r="O15" s="51"/>
      <c r="P15" s="53"/>
    </row>
    <row r="16" spans="1:16" ht="18" x14ac:dyDescent="0.3">
      <c r="A16" s="38"/>
      <c r="B16" s="69"/>
      <c r="C16" s="70" t="s">
        <v>110</v>
      </c>
      <c r="D16" s="50" t="s">
        <v>31</v>
      </c>
      <c r="E16" s="50" t="s">
        <v>32</v>
      </c>
      <c r="F16" s="50" t="s">
        <v>36</v>
      </c>
      <c r="G16" s="50" t="s">
        <v>34</v>
      </c>
      <c r="H16" s="50" t="s">
        <v>37</v>
      </c>
      <c r="I16" s="50" t="s">
        <v>34</v>
      </c>
      <c r="J16" s="50" t="s">
        <v>38</v>
      </c>
      <c r="K16" s="50" t="s">
        <v>35</v>
      </c>
      <c r="L16" s="71"/>
      <c r="M16" s="50"/>
      <c r="N16" s="50"/>
      <c r="O16" s="51"/>
      <c r="P16" s="53"/>
    </row>
    <row r="17" spans="1:32" ht="6" customHeight="1" x14ac:dyDescent="0.2">
      <c r="A17" s="38"/>
      <c r="B17" s="69"/>
      <c r="C17" s="50"/>
      <c r="D17" s="50"/>
      <c r="E17" s="50"/>
      <c r="F17" s="50"/>
      <c r="G17" s="50"/>
      <c r="H17" s="50"/>
      <c r="I17" s="50"/>
      <c r="J17" s="50"/>
      <c r="K17" s="50"/>
      <c r="L17" s="50"/>
      <c r="M17" s="50"/>
      <c r="N17" s="50"/>
      <c r="O17" s="51"/>
      <c r="P17" s="53"/>
    </row>
    <row r="18" spans="1:32" ht="15" x14ac:dyDescent="0.2">
      <c r="A18" s="38"/>
      <c r="B18" s="69"/>
      <c r="C18" s="50"/>
      <c r="D18" s="40" t="s">
        <v>36</v>
      </c>
      <c r="E18" s="59" t="s">
        <v>93</v>
      </c>
      <c r="F18" s="370" t="s">
        <v>375</v>
      </c>
      <c r="G18" s="370"/>
      <c r="H18" s="370"/>
      <c r="I18" s="72"/>
      <c r="J18" s="375" t="s">
        <v>99</v>
      </c>
      <c r="K18" s="375"/>
      <c r="L18" s="375"/>
      <c r="M18" s="375"/>
      <c r="N18" s="73">
        <v>1</v>
      </c>
      <c r="O18" s="51"/>
      <c r="P18" s="53"/>
    </row>
    <row r="19" spans="1:32" ht="15" x14ac:dyDescent="0.2">
      <c r="A19" s="38"/>
      <c r="B19" s="69"/>
      <c r="C19" s="50"/>
      <c r="D19" s="40" t="s">
        <v>37</v>
      </c>
      <c r="E19" s="59" t="s">
        <v>93</v>
      </c>
      <c r="F19" s="370" t="s">
        <v>97</v>
      </c>
      <c r="G19" s="370"/>
      <c r="H19" s="370"/>
      <c r="I19" s="370"/>
      <c r="J19" s="370"/>
      <c r="K19" s="370"/>
      <c r="L19" s="370"/>
      <c r="M19" s="370"/>
      <c r="N19" s="370"/>
      <c r="O19" s="51"/>
      <c r="P19" s="53"/>
    </row>
    <row r="20" spans="1:32" ht="15" x14ac:dyDescent="0.2">
      <c r="A20" s="38"/>
      <c r="B20" s="69"/>
      <c r="C20" s="50"/>
      <c r="D20" s="40" t="s">
        <v>38</v>
      </c>
      <c r="E20" s="59" t="s">
        <v>93</v>
      </c>
      <c r="F20" s="370" t="s">
        <v>98</v>
      </c>
      <c r="G20" s="370"/>
      <c r="H20" s="370"/>
      <c r="I20" s="370"/>
      <c r="J20" s="370"/>
      <c r="K20" s="370"/>
      <c r="L20" s="370"/>
      <c r="M20" s="370"/>
      <c r="N20" s="370"/>
      <c r="O20" s="51"/>
      <c r="P20" s="53"/>
    </row>
    <row r="21" spans="1:32" ht="6" customHeight="1" x14ac:dyDescent="0.2">
      <c r="A21" s="38"/>
      <c r="B21" s="69"/>
      <c r="C21" s="50"/>
      <c r="D21" s="50"/>
      <c r="E21" s="50"/>
      <c r="F21" s="50"/>
      <c r="G21" s="50"/>
      <c r="H21" s="50"/>
      <c r="I21" s="50"/>
      <c r="J21" s="50"/>
      <c r="K21" s="50"/>
      <c r="L21" s="50"/>
      <c r="M21" s="50"/>
      <c r="N21" s="50"/>
      <c r="O21" s="51"/>
      <c r="P21" s="53"/>
    </row>
    <row r="22" spans="1:32" ht="18" x14ac:dyDescent="0.3">
      <c r="A22" s="38"/>
      <c r="B22" s="69"/>
      <c r="C22" s="70" t="s">
        <v>110</v>
      </c>
      <c r="D22" s="50" t="s">
        <v>31</v>
      </c>
      <c r="E22" s="50" t="s">
        <v>32</v>
      </c>
      <c r="F22" s="50">
        <f>N18</f>
        <v>1</v>
      </c>
      <c r="G22" s="50" t="s">
        <v>34</v>
      </c>
      <c r="H22" s="50">
        <f>Eingabetabelle!H19</f>
        <v>0</v>
      </c>
      <c r="I22" s="50" t="s">
        <v>34</v>
      </c>
      <c r="J22" s="74">
        <f>(Eingabetabelle!H8+Eingabetabelle!H12+Eingabetabelle!H16)/10000</f>
        <v>0</v>
      </c>
      <c r="K22" s="50" t="s">
        <v>35</v>
      </c>
      <c r="L22" s="50" t="s">
        <v>31</v>
      </c>
      <c r="M22" s="75">
        <f>F22*H22*J22</f>
        <v>0</v>
      </c>
      <c r="N22" s="70" t="s">
        <v>26</v>
      </c>
      <c r="O22" s="51"/>
      <c r="P22" s="53"/>
    </row>
    <row r="23" spans="1:32" ht="6" customHeight="1" x14ac:dyDescent="0.2">
      <c r="A23" s="38"/>
      <c r="B23" s="69"/>
      <c r="C23" s="50"/>
      <c r="D23" s="50"/>
      <c r="E23" s="50"/>
      <c r="F23" s="50"/>
      <c r="G23" s="50"/>
      <c r="H23" s="50"/>
      <c r="I23" s="50"/>
      <c r="J23" s="50"/>
      <c r="K23" s="50"/>
      <c r="L23" s="50"/>
      <c r="M23" s="50"/>
      <c r="N23" s="50"/>
      <c r="O23" s="51"/>
      <c r="P23" s="53"/>
    </row>
    <row r="24" spans="1:32" ht="15" x14ac:dyDescent="0.2">
      <c r="A24" s="38"/>
      <c r="B24" s="69"/>
      <c r="C24" s="55"/>
      <c r="D24" s="40" t="s">
        <v>40</v>
      </c>
      <c r="E24" s="40" t="s">
        <v>31</v>
      </c>
      <c r="F24" s="40">
        <f>IF(Eingabetabelle!H68&gt;0,1,0)</f>
        <v>0</v>
      </c>
      <c r="G24" s="40" t="s">
        <v>93</v>
      </c>
      <c r="H24" s="376" t="s">
        <v>25</v>
      </c>
      <c r="I24" s="376"/>
      <c r="J24" s="376"/>
      <c r="K24" s="376"/>
      <c r="L24" s="376"/>
      <c r="M24" s="376"/>
      <c r="N24" s="376"/>
      <c r="O24" s="376"/>
      <c r="P24" s="76"/>
      <c r="Q24"/>
    </row>
    <row r="25" spans="1:32" ht="6" customHeight="1" x14ac:dyDescent="0.2">
      <c r="A25" s="38"/>
      <c r="B25" s="69"/>
      <c r="C25" s="55"/>
      <c r="D25" s="40"/>
      <c r="E25" s="40"/>
      <c r="F25" s="40"/>
      <c r="G25" s="40"/>
      <c r="H25" s="55"/>
      <c r="I25" s="55"/>
      <c r="J25" s="55"/>
      <c r="K25" s="55"/>
      <c r="L25" s="55"/>
      <c r="M25" s="55"/>
      <c r="N25" s="55"/>
      <c r="O25" s="55"/>
      <c r="P25" s="67"/>
    </row>
    <row r="26" spans="1:32" ht="15" x14ac:dyDescent="0.2">
      <c r="A26" s="38"/>
      <c r="B26" s="69"/>
      <c r="C26" s="55"/>
      <c r="D26" s="40" t="s">
        <v>40</v>
      </c>
      <c r="E26" s="40" t="s">
        <v>31</v>
      </c>
      <c r="F26" s="40">
        <f>IF(E62+G62+I62&gt;0,2,0)</f>
        <v>0</v>
      </c>
      <c r="G26" s="40" t="s">
        <v>93</v>
      </c>
      <c r="H26" s="373" t="s">
        <v>9</v>
      </c>
      <c r="I26" s="373"/>
      <c r="J26" s="373"/>
      <c r="K26" s="373"/>
      <c r="L26" s="373"/>
      <c r="M26" s="373"/>
      <c r="N26" s="373"/>
      <c r="O26" s="373"/>
      <c r="P26" s="76"/>
    </row>
    <row r="27" spans="1:32" ht="15" x14ac:dyDescent="0.2">
      <c r="A27" s="38"/>
      <c r="B27" s="69"/>
      <c r="C27" s="55"/>
      <c r="D27" s="40"/>
      <c r="E27" s="40"/>
      <c r="F27" s="40"/>
      <c r="G27" s="40"/>
      <c r="H27" s="373"/>
      <c r="I27" s="373"/>
      <c r="J27" s="373"/>
      <c r="K27" s="373"/>
      <c r="L27" s="373"/>
      <c r="M27" s="373"/>
      <c r="N27" s="373"/>
      <c r="O27" s="373"/>
      <c r="P27" s="76"/>
    </row>
    <row r="28" spans="1:32" ht="15" x14ac:dyDescent="0.2">
      <c r="A28" s="38"/>
      <c r="B28" s="69"/>
      <c r="C28" s="55"/>
      <c r="D28" s="40" t="s">
        <v>40</v>
      </c>
      <c r="E28" s="40" t="s">
        <v>31</v>
      </c>
      <c r="F28" s="40">
        <f>Eingabetabelle!H58</f>
        <v>0</v>
      </c>
      <c r="G28" s="40" t="s">
        <v>93</v>
      </c>
      <c r="H28" s="125" t="s">
        <v>320</v>
      </c>
      <c r="I28" s="123"/>
      <c r="J28" s="123"/>
      <c r="K28" s="123"/>
      <c r="L28" s="123"/>
      <c r="M28" s="123"/>
      <c r="N28" s="123"/>
      <c r="O28" s="123"/>
      <c r="P28" s="76"/>
    </row>
    <row r="29" spans="1:32" ht="6" customHeight="1" x14ac:dyDescent="0.2">
      <c r="A29" s="38"/>
      <c r="B29" s="69"/>
      <c r="C29" s="40"/>
      <c r="D29" s="40"/>
      <c r="E29" s="40"/>
      <c r="F29" s="40"/>
      <c r="G29" s="55"/>
      <c r="H29" s="55"/>
      <c r="I29" s="55"/>
      <c r="J29" s="55"/>
      <c r="K29" s="55"/>
      <c r="L29" s="55"/>
      <c r="M29" s="55"/>
      <c r="N29" s="55"/>
      <c r="O29" s="55"/>
      <c r="P29" s="67"/>
    </row>
    <row r="30" spans="1:32" ht="18" x14ac:dyDescent="0.3">
      <c r="A30" s="38"/>
      <c r="B30" s="69"/>
      <c r="C30" s="70" t="s">
        <v>111</v>
      </c>
      <c r="D30" s="50" t="s">
        <v>31</v>
      </c>
      <c r="E30" s="70">
        <f>MAX(F24,F26,F28)</f>
        <v>0</v>
      </c>
      <c r="F30" s="50" t="s">
        <v>93</v>
      </c>
      <c r="G30" s="51" t="s">
        <v>39</v>
      </c>
      <c r="H30" s="55"/>
      <c r="I30" s="55"/>
      <c r="J30" s="55"/>
      <c r="K30" s="55"/>
      <c r="L30" s="55"/>
      <c r="M30" s="55"/>
      <c r="N30" s="55"/>
      <c r="O30" s="55"/>
      <c r="P30" s="67"/>
    </row>
    <row r="31" spans="1:32" ht="6" customHeight="1" x14ac:dyDescent="0.2">
      <c r="A31" s="38"/>
      <c r="B31" s="69"/>
      <c r="C31" s="50"/>
      <c r="D31" s="50"/>
      <c r="E31" s="50"/>
      <c r="F31" s="50"/>
      <c r="G31" s="50"/>
      <c r="H31" s="50"/>
      <c r="I31" s="50"/>
      <c r="J31" s="50"/>
      <c r="K31" s="50"/>
      <c r="L31" s="50"/>
      <c r="M31" s="50"/>
      <c r="N31" s="50"/>
      <c r="O31" s="51"/>
      <c r="P31" s="53"/>
    </row>
    <row r="32" spans="1:32" ht="18" x14ac:dyDescent="0.3">
      <c r="A32" s="38"/>
      <c r="B32" s="69"/>
      <c r="C32" s="70" t="s">
        <v>112</v>
      </c>
      <c r="D32" s="50" t="s">
        <v>31</v>
      </c>
      <c r="E32" s="248" t="s">
        <v>117</v>
      </c>
      <c r="F32" s="248"/>
      <c r="G32" s="50" t="s">
        <v>33</v>
      </c>
      <c r="H32" s="50" t="s">
        <v>113</v>
      </c>
      <c r="I32" s="50" t="s">
        <v>33</v>
      </c>
      <c r="J32" s="50" t="s">
        <v>114</v>
      </c>
      <c r="K32" s="50" t="s">
        <v>33</v>
      </c>
      <c r="L32" s="50" t="s">
        <v>115</v>
      </c>
      <c r="M32" s="71"/>
      <c r="N32" s="50"/>
      <c r="O32" s="51"/>
      <c r="P32" s="53"/>
      <c r="AF32" s="2"/>
    </row>
    <row r="33" spans="1:32" ht="6.75" customHeight="1" x14ac:dyDescent="0.2">
      <c r="A33" s="38"/>
      <c r="B33" s="69"/>
      <c r="C33" s="50"/>
      <c r="D33" s="50"/>
      <c r="E33" s="50"/>
      <c r="F33" s="50"/>
      <c r="G33" s="50"/>
      <c r="H33" s="50"/>
      <c r="I33" s="50"/>
      <c r="J33" s="50"/>
      <c r="K33" s="50"/>
      <c r="L33" s="50"/>
      <c r="M33" s="50"/>
      <c r="N33" s="50"/>
      <c r="O33" s="51"/>
      <c r="P33" s="53"/>
    </row>
    <row r="34" spans="1:32" ht="15.75" x14ac:dyDescent="0.25">
      <c r="A34" s="38"/>
      <c r="B34" s="69"/>
      <c r="C34" s="50"/>
      <c r="D34" s="384" t="s">
        <v>120</v>
      </c>
      <c r="E34" s="384"/>
      <c r="F34" s="40" t="s">
        <v>31</v>
      </c>
      <c r="G34" s="71" t="s">
        <v>376</v>
      </c>
      <c r="H34" s="71"/>
      <c r="I34" s="71"/>
      <c r="J34" s="71"/>
      <c r="K34" s="71"/>
      <c r="L34" s="71"/>
      <c r="M34" s="71"/>
      <c r="N34" s="50"/>
      <c r="O34" s="51"/>
      <c r="P34" s="67"/>
    </row>
    <row r="35" spans="1:32" ht="6" customHeight="1" x14ac:dyDescent="0.2">
      <c r="A35" s="38"/>
      <c r="B35" s="69"/>
      <c r="C35" s="50"/>
      <c r="D35" s="50"/>
      <c r="E35" s="50"/>
      <c r="F35" s="50"/>
      <c r="G35" s="50"/>
      <c r="H35" s="50"/>
      <c r="I35" s="50"/>
      <c r="J35" s="50"/>
      <c r="K35" s="50"/>
      <c r="L35" s="50"/>
      <c r="M35" s="50"/>
      <c r="N35" s="50"/>
      <c r="O35" s="51"/>
      <c r="P35" s="53"/>
    </row>
    <row r="36" spans="1:32" ht="15" customHeight="1" x14ac:dyDescent="0.2">
      <c r="A36" s="38"/>
      <c r="B36" s="69"/>
      <c r="C36" s="50"/>
      <c r="D36" s="370" t="s">
        <v>101</v>
      </c>
      <c r="E36" s="370"/>
      <c r="F36" s="370"/>
      <c r="G36" s="370"/>
      <c r="H36" s="370"/>
      <c r="I36" s="370"/>
      <c r="J36" s="370"/>
      <c r="K36" s="370"/>
      <c r="L36" s="50"/>
      <c r="M36" s="50"/>
      <c r="N36" s="50"/>
      <c r="O36" s="51"/>
      <c r="P36" s="53"/>
    </row>
    <row r="37" spans="1:32" s="2" customFormat="1" ht="15" x14ac:dyDescent="0.2">
      <c r="A37" s="36"/>
      <c r="B37" s="77"/>
      <c r="C37" s="40"/>
      <c r="D37" s="383" t="s">
        <v>47</v>
      </c>
      <c r="E37" s="383" t="s">
        <v>48</v>
      </c>
      <c r="F37" s="383" t="s">
        <v>266</v>
      </c>
      <c r="G37" s="383" t="s">
        <v>49</v>
      </c>
      <c r="H37" s="383" t="s">
        <v>50</v>
      </c>
      <c r="I37" s="383" t="s">
        <v>51</v>
      </c>
      <c r="J37" s="380"/>
      <c r="K37" s="380"/>
      <c r="L37" s="380"/>
      <c r="M37" s="380"/>
      <c r="N37" s="380"/>
      <c r="O37" s="380"/>
      <c r="P37" s="53"/>
    </row>
    <row r="38" spans="1:32" s="2" customFormat="1" ht="15" x14ac:dyDescent="0.2">
      <c r="A38" s="36"/>
      <c r="B38" s="77"/>
      <c r="C38" s="40"/>
      <c r="D38" s="383"/>
      <c r="E38" s="383"/>
      <c r="F38" s="383"/>
      <c r="G38" s="383"/>
      <c r="H38" s="383"/>
      <c r="I38" s="383"/>
      <c r="J38" s="380"/>
      <c r="K38" s="380"/>
      <c r="L38" s="380"/>
      <c r="M38" s="380"/>
      <c r="N38" s="380"/>
      <c r="O38" s="380"/>
      <c r="P38" s="53"/>
      <c r="AA38" s="2">
        <f t="shared" ref="AA38:AF38" si="0">SUM(AA39:AA41)</f>
        <v>0</v>
      </c>
      <c r="AB38" s="2">
        <f t="shared" si="0"/>
        <v>0</v>
      </c>
      <c r="AC38" s="2">
        <f t="shared" si="0"/>
        <v>0</v>
      </c>
      <c r="AD38" s="2">
        <f t="shared" si="0"/>
        <v>0</v>
      </c>
      <c r="AE38" s="2">
        <f t="shared" si="0"/>
        <v>0</v>
      </c>
      <c r="AF38" s="2">
        <f t="shared" si="0"/>
        <v>0</v>
      </c>
    </row>
    <row r="39" spans="1:32" s="2" customFormat="1" ht="15" x14ac:dyDescent="0.2">
      <c r="A39" s="36"/>
      <c r="B39" s="77"/>
      <c r="C39" s="41" t="s">
        <v>43</v>
      </c>
      <c r="D39" s="35">
        <v>0.5</v>
      </c>
      <c r="E39" s="35">
        <v>0.5</v>
      </c>
      <c r="F39" s="35">
        <v>0.35</v>
      </c>
      <c r="G39" s="35">
        <v>0.25</v>
      </c>
      <c r="H39" s="35">
        <v>0.1</v>
      </c>
      <c r="I39" s="35">
        <v>0.1</v>
      </c>
      <c r="J39" s="78"/>
      <c r="K39" s="42">
        <f>R39-S39</f>
        <v>0</v>
      </c>
      <c r="L39" s="78"/>
      <c r="M39" s="78"/>
      <c r="N39" s="78"/>
      <c r="O39" s="78"/>
      <c r="P39" s="53"/>
      <c r="Q39" s="6">
        <f>Eingabetabelle!H45+Eingabetabelle!H43+Eingabetabelle!H41</f>
        <v>0</v>
      </c>
      <c r="R39" s="7">
        <f>IF(Q39=1,D39,0)+IF(Q39=2,D39+E39,0)+IF(Q39=3,D39+E39+F39,0)+IF(Q39=4,D39+E39+F39+G39,0)+IF(Q39=5,D39+E39+F39+G39+H39,0)+IF(Q39=6,D39+E39+F39+G39+H39+I39,0)+IF(Q39&gt;6.1,D39+E39+F39+G39+H39*(Q39-4),0)</f>
        <v>0</v>
      </c>
      <c r="S39" s="7">
        <f>IF(Q41=1,D39,0)+IF(Q41=2,D39+E39,0)+IF(Q41=3,D39+E39+F39,0)+IF(Q41=4,D39+E39+F39+G39,0)+IF(Q41=5,D39+E39+F39+G39+H39,0)+IF(Q41=6,D39+E39+F39+G39+H39+I39,0)+IF(Q41&gt;6.1,D39+E39+F39+G39+H39*(Q41-4),0)</f>
        <v>0</v>
      </c>
      <c r="T39" s="7"/>
      <c r="U39" s="7"/>
      <c r="V39" s="7"/>
      <c r="W39" s="7"/>
      <c r="X39" s="7"/>
      <c r="Y39" s="2">
        <f>Eingabetabelle!H41</f>
        <v>0</v>
      </c>
      <c r="Z39" s="2">
        <f>SUM(Y39:Y41)</f>
        <v>0</v>
      </c>
      <c r="AA39" s="2">
        <f>IF(Z39&gt;0.9,5,0)</f>
        <v>0</v>
      </c>
      <c r="AB39" s="2">
        <f>IF(Z39&gt;1.9,5,0)</f>
        <v>0</v>
      </c>
      <c r="AC39" s="2">
        <f>IF(Z39&gt;2.9,5,0)</f>
        <v>0</v>
      </c>
      <c r="AD39" s="2">
        <f>IF(Z39&gt;3.9,5,0)</f>
        <v>0</v>
      </c>
      <c r="AE39" s="2">
        <f>IF(Z39&gt;4.9,5,0)</f>
        <v>0</v>
      </c>
      <c r="AF39" s="2">
        <f>IF(Z39&gt;5.9,5,0)</f>
        <v>0</v>
      </c>
    </row>
    <row r="40" spans="1:32" s="2" customFormat="1" ht="15" x14ac:dyDescent="0.2">
      <c r="A40" s="36"/>
      <c r="B40" s="77"/>
      <c r="C40" s="41" t="s">
        <v>44</v>
      </c>
      <c r="D40" s="35">
        <v>1</v>
      </c>
      <c r="E40" s="35">
        <v>1</v>
      </c>
      <c r="F40" s="35">
        <v>0.7</v>
      </c>
      <c r="G40" s="35">
        <v>0.5</v>
      </c>
      <c r="H40" s="35">
        <v>0.2</v>
      </c>
      <c r="I40" s="35">
        <v>0.2</v>
      </c>
      <c r="J40" s="78"/>
      <c r="K40" s="42">
        <f>R40-S40</f>
        <v>0</v>
      </c>
      <c r="L40" s="78"/>
      <c r="M40" s="78"/>
      <c r="N40" s="78"/>
      <c r="O40" s="78"/>
      <c r="P40" s="53"/>
      <c r="Q40" s="6">
        <f>Eingabetabelle!H45+Eingabetabelle!H43</f>
        <v>0</v>
      </c>
      <c r="R40" s="7">
        <f>IF(Q40=1,D40,0)+IF(Q40=2,D40+E40,0)+IF(Q40=3,D40+E40+F40,0)+IF(Q40=4,D40+E40+F40+G40,0)+IF(Q40=5,D40+E40+F40+G40+H40,0)+IF(Q40=6,D40+E40+F40+G40+H40+I40,0)+IF(Q40&gt;6.1,D40+E40+F40+G40+H40*(Q40-4),0)</f>
        <v>0</v>
      </c>
      <c r="S40" s="7">
        <f>IF(Eingabetabelle!H45=1,D40,0)+IF(Eingabetabelle!H45=2,D40+E40,0)+IF(Eingabetabelle!H45=3,D40+E40+F40,0)+IF(Eingabetabelle!H45=4,D40+E40+F40+G40,0)+IF(Eingabetabelle!H45=5,D40+E40+F40+G40+H40,0)+IF(Eingabetabelle!H45=6,D40+E40+F40+G40+H40+I40,0)+IF(Eingabetabelle!H45&gt;6.1,D40+E40+F40+G40+H40*(Eingabetabelle!H45-4),0)</f>
        <v>0</v>
      </c>
      <c r="T40" s="7"/>
      <c r="U40" s="7"/>
      <c r="V40" s="7"/>
      <c r="W40" s="7"/>
      <c r="X40" s="7"/>
      <c r="Y40" s="2">
        <f>Eingabetabelle!H43</f>
        <v>0</v>
      </c>
      <c r="Z40" s="2">
        <f>Y40+Y41</f>
        <v>0</v>
      </c>
      <c r="AA40" s="2">
        <f>IF(Z40&gt;0.9,5,0)</f>
        <v>0</v>
      </c>
      <c r="AB40" s="2">
        <f>IF(Z40&gt;1.9,5,0)</f>
        <v>0</v>
      </c>
      <c r="AC40" s="2">
        <f>IF(Z40&gt;2.9,5,0)</f>
        <v>0</v>
      </c>
      <c r="AD40" s="2">
        <f>IF(Z40&gt;3.9,5,0)</f>
        <v>0</v>
      </c>
      <c r="AE40" s="2">
        <f>IF(Z40&gt;4.9,5,0)</f>
        <v>0</v>
      </c>
      <c r="AF40" s="2">
        <f>IF(Z40&gt;5.9,5,0)</f>
        <v>0</v>
      </c>
    </row>
    <row r="41" spans="1:32" s="2" customFormat="1" ht="15" x14ac:dyDescent="0.2">
      <c r="A41" s="36"/>
      <c r="B41" s="77"/>
      <c r="C41" s="41" t="s">
        <v>45</v>
      </c>
      <c r="D41" s="35">
        <v>1.7</v>
      </c>
      <c r="E41" s="35">
        <v>1.7</v>
      </c>
      <c r="F41" s="35">
        <v>1.2</v>
      </c>
      <c r="G41" s="35">
        <v>0.85</v>
      </c>
      <c r="H41" s="35">
        <v>0.3</v>
      </c>
      <c r="I41" s="35">
        <v>0.3</v>
      </c>
      <c r="J41" s="78"/>
      <c r="K41" s="42">
        <f>IF(Eingabetabelle!H45=1,D41,0)+IF(Eingabetabelle!H45=2,D41+E41,0)+IF(Eingabetabelle!H45=3,D41+E41+F41,0)+IF(Eingabetabelle!H45=4,D41+E41+F41+G41,0)+IF(Eingabetabelle!H45=5,D41+E41+F41+G41+H41,0)+IF(Eingabetabelle!H45=6,D41+E41+F41+G41+H41+I41,0)+IF(Eingabetabelle!H45&gt;6.1,D41+E41+F41+G41+H41*(Eingabetabelle!H45-4),0)</f>
        <v>0</v>
      </c>
      <c r="L41" s="78"/>
      <c r="M41" s="78"/>
      <c r="N41" s="78"/>
      <c r="O41" s="78"/>
      <c r="P41" s="53"/>
      <c r="Q41" s="6">
        <f>Eingabetabelle!H43+Eingabetabelle!H45</f>
        <v>0</v>
      </c>
      <c r="R41" s="6"/>
      <c r="S41" s="6"/>
      <c r="T41" s="6"/>
      <c r="U41" s="6"/>
      <c r="V41" s="6"/>
      <c r="W41" s="6"/>
      <c r="X41" s="6"/>
      <c r="Y41" s="2">
        <f>Eingabetabelle!H45</f>
        <v>0</v>
      </c>
      <c r="AA41" s="2">
        <f>IF(Y41&gt;0.9,5,0)</f>
        <v>0</v>
      </c>
      <c r="AB41" s="2">
        <f>IF(Y41&gt;1.9,5,0)</f>
        <v>0</v>
      </c>
      <c r="AC41" s="2">
        <f>IF(Y41&gt;2.9,5,0)</f>
        <v>0</v>
      </c>
      <c r="AD41" s="2">
        <f>IF(Y41&gt;3.9,5,0)</f>
        <v>0</v>
      </c>
      <c r="AE41" s="2">
        <f>IF(Y41&gt;4.9,5,0)</f>
        <v>0</v>
      </c>
      <c r="AF41" s="2">
        <f>IF(Y41&gt;5.9,5,0)</f>
        <v>0</v>
      </c>
    </row>
    <row r="42" spans="1:32" s="2" customFormat="1" ht="15.75" x14ac:dyDescent="0.25">
      <c r="A42" s="36"/>
      <c r="B42" s="77"/>
      <c r="C42" s="40"/>
      <c r="D42" s="78"/>
      <c r="E42" s="78"/>
      <c r="F42" s="78"/>
      <c r="G42" s="78"/>
      <c r="H42" s="372" t="s">
        <v>116</v>
      </c>
      <c r="I42" s="372"/>
      <c r="J42" s="78" t="s">
        <v>31</v>
      </c>
      <c r="K42" s="44">
        <f>SUM(K39:K41)</f>
        <v>0</v>
      </c>
      <c r="L42" s="79" t="s">
        <v>75</v>
      </c>
      <c r="M42" s="78"/>
      <c r="N42" s="78"/>
      <c r="O42" s="78"/>
      <c r="P42" s="53"/>
      <c r="AA42" s="2">
        <f t="shared" ref="AA42:AF42" si="1">SUM(AA40:AA41)</f>
        <v>0</v>
      </c>
      <c r="AB42" s="2">
        <f t="shared" si="1"/>
        <v>0</v>
      </c>
      <c r="AC42" s="2">
        <f t="shared" si="1"/>
        <v>0</v>
      </c>
      <c r="AD42" s="2">
        <f t="shared" si="1"/>
        <v>0</v>
      </c>
      <c r="AE42" s="2">
        <f t="shared" si="1"/>
        <v>0</v>
      </c>
      <c r="AF42" s="2">
        <f t="shared" si="1"/>
        <v>0</v>
      </c>
    </row>
    <row r="43" spans="1:32" ht="6" customHeight="1" x14ac:dyDescent="0.2">
      <c r="A43" s="38"/>
      <c r="B43" s="77"/>
      <c r="C43" s="50"/>
      <c r="D43" s="80"/>
      <c r="E43" s="80"/>
      <c r="F43" s="80"/>
      <c r="G43" s="80"/>
      <c r="H43" s="80"/>
      <c r="I43" s="80"/>
      <c r="J43" s="80"/>
      <c r="K43" s="80"/>
      <c r="L43" s="80"/>
      <c r="M43" s="80"/>
      <c r="N43" s="80"/>
      <c r="O43" s="80"/>
      <c r="P43" s="53"/>
    </row>
    <row r="44" spans="1:32" ht="18" x14ac:dyDescent="0.3">
      <c r="A44" s="38"/>
      <c r="B44" s="77"/>
      <c r="C44" s="262" t="s">
        <v>118</v>
      </c>
      <c r="D44" s="262"/>
      <c r="E44" s="81" t="s">
        <v>31</v>
      </c>
      <c r="F44" s="82" t="s">
        <v>119</v>
      </c>
      <c r="G44" s="55"/>
      <c r="H44" s="80" t="s">
        <v>76</v>
      </c>
      <c r="I44" s="80" t="s">
        <v>77</v>
      </c>
      <c r="J44" s="80" t="s">
        <v>76</v>
      </c>
      <c r="K44" s="80" t="s">
        <v>128</v>
      </c>
      <c r="L44" s="71"/>
      <c r="M44" s="80"/>
      <c r="N44" s="80"/>
      <c r="O44" s="80"/>
      <c r="P44" s="53"/>
    </row>
    <row r="45" spans="1:32" ht="6" customHeight="1" x14ac:dyDescent="0.2">
      <c r="A45" s="38"/>
      <c r="B45" s="77"/>
      <c r="C45" s="262"/>
      <c r="D45" s="262"/>
      <c r="E45" s="80"/>
      <c r="F45" s="80"/>
      <c r="G45" s="80"/>
      <c r="H45" s="80"/>
      <c r="I45" s="80"/>
      <c r="J45" s="80"/>
      <c r="K45" s="80"/>
      <c r="L45" s="80"/>
      <c r="M45" s="80"/>
      <c r="N45" s="80"/>
      <c r="O45" s="80"/>
      <c r="P45" s="53"/>
    </row>
    <row r="46" spans="1:32" ht="18" x14ac:dyDescent="0.3">
      <c r="A46" s="38"/>
      <c r="B46" s="77"/>
      <c r="C46" s="262" t="s">
        <v>118</v>
      </c>
      <c r="D46" s="262"/>
      <c r="E46" s="80" t="s">
        <v>31</v>
      </c>
      <c r="F46" s="80">
        <f>K42</f>
        <v>0</v>
      </c>
      <c r="G46" s="80"/>
      <c r="H46" s="80" t="s">
        <v>76</v>
      </c>
      <c r="I46" s="80">
        <v>4</v>
      </c>
      <c r="J46" s="80" t="s">
        <v>76</v>
      </c>
      <c r="K46" s="80">
        <f>IF(Eingabetabelle!H47&gt;4,Eingabetabelle!H47,4)</f>
        <v>4</v>
      </c>
      <c r="L46" s="80" t="s">
        <v>31</v>
      </c>
      <c r="M46" s="75">
        <f>F46/SQRT(I46/K46)</f>
        <v>0</v>
      </c>
      <c r="N46" s="75" t="s">
        <v>26</v>
      </c>
      <c r="O46" s="80"/>
      <c r="P46" s="67"/>
    </row>
    <row r="47" spans="1:32" ht="6" customHeight="1" x14ac:dyDescent="0.2">
      <c r="A47" s="38"/>
      <c r="B47" s="77"/>
      <c r="C47" s="50"/>
      <c r="D47" s="80"/>
      <c r="E47" s="80"/>
      <c r="F47" s="80"/>
      <c r="G47" s="80"/>
      <c r="H47" s="80"/>
      <c r="I47" s="80"/>
      <c r="J47" s="80"/>
      <c r="K47" s="80"/>
      <c r="L47" s="80"/>
      <c r="M47" s="80"/>
      <c r="N47" s="80"/>
      <c r="O47" s="80"/>
      <c r="P47" s="53"/>
    </row>
    <row r="48" spans="1:32" ht="18" x14ac:dyDescent="0.3">
      <c r="A48" s="38"/>
      <c r="B48" s="77"/>
      <c r="C48" s="70" t="s">
        <v>121</v>
      </c>
      <c r="D48" s="50" t="s">
        <v>31</v>
      </c>
      <c r="E48" s="50">
        <v>2</v>
      </c>
      <c r="F48" s="50" t="s">
        <v>26</v>
      </c>
      <c r="G48" s="50" t="s">
        <v>34</v>
      </c>
      <c r="H48" s="50">
        <f>Eingabetabelle!H50</f>
        <v>0</v>
      </c>
      <c r="I48" s="50" t="s">
        <v>31</v>
      </c>
      <c r="J48" s="75">
        <f>E48*H48</f>
        <v>0</v>
      </c>
      <c r="K48" s="70" t="s">
        <v>26</v>
      </c>
      <c r="L48" s="80"/>
      <c r="M48" s="80"/>
      <c r="N48" s="80"/>
      <c r="O48" s="80"/>
      <c r="P48" s="53"/>
    </row>
    <row r="49" spans="1:16" ht="6" customHeight="1" x14ac:dyDescent="0.2">
      <c r="A49" s="38"/>
      <c r="B49" s="77"/>
      <c r="C49" s="70"/>
      <c r="D49" s="50"/>
      <c r="E49" s="50"/>
      <c r="F49" s="50"/>
      <c r="G49" s="50"/>
      <c r="H49" s="50"/>
      <c r="I49" s="50"/>
      <c r="J49" s="75"/>
      <c r="K49" s="70"/>
      <c r="L49" s="80"/>
      <c r="M49" s="80"/>
      <c r="N49" s="80"/>
      <c r="O49" s="80"/>
      <c r="P49" s="53"/>
    </row>
    <row r="50" spans="1:16" ht="15" x14ac:dyDescent="0.2">
      <c r="A50" s="38"/>
      <c r="B50" s="77"/>
      <c r="C50" s="50"/>
      <c r="D50" s="40" t="s">
        <v>41</v>
      </c>
      <c r="E50" s="40" t="s">
        <v>42</v>
      </c>
      <c r="F50" s="55" t="s">
        <v>377</v>
      </c>
      <c r="G50" s="55"/>
      <c r="H50" s="55"/>
      <c r="I50" s="55"/>
      <c r="J50" s="55"/>
      <c r="K50" s="55"/>
      <c r="L50" s="55"/>
      <c r="M50" s="55"/>
      <c r="N50" s="51"/>
      <c r="O50" s="51"/>
      <c r="P50" s="53"/>
    </row>
    <row r="51" spans="1:16" ht="15" x14ac:dyDescent="0.2">
      <c r="A51" s="38"/>
      <c r="B51" s="77"/>
      <c r="C51" s="51"/>
      <c r="D51" s="51"/>
      <c r="E51" s="51"/>
      <c r="F51" s="51"/>
      <c r="G51" s="51"/>
      <c r="H51" s="51"/>
      <c r="I51" s="51"/>
      <c r="J51" s="51"/>
      <c r="K51" s="51"/>
      <c r="L51" s="51"/>
      <c r="M51" s="51"/>
      <c r="N51" s="51"/>
      <c r="O51" s="51"/>
      <c r="P51" s="53"/>
    </row>
    <row r="52" spans="1:16" ht="18" x14ac:dyDescent="0.3">
      <c r="A52" s="38"/>
      <c r="B52" s="77"/>
      <c r="C52" s="50" t="s">
        <v>122</v>
      </c>
      <c r="D52" s="50" t="s">
        <v>31</v>
      </c>
      <c r="E52" s="50" t="str">
        <f>IF(H48&gt;0.9,"1","2")</f>
        <v>2</v>
      </c>
      <c r="F52" s="50" t="s">
        <v>26</v>
      </c>
      <c r="G52" s="50" t="s">
        <v>34</v>
      </c>
      <c r="H52" s="50">
        <f>IF(Eingabetabelle!H53&gt;0.9,1,0)</f>
        <v>0</v>
      </c>
      <c r="I52" s="50" t="s">
        <v>31</v>
      </c>
      <c r="J52" s="80">
        <f>IF(Eingabetabelle!H53&gt;0.9,E52*H52,0)</f>
        <v>0</v>
      </c>
      <c r="K52" s="50" t="s">
        <v>26</v>
      </c>
      <c r="L52" s="40" t="s">
        <v>93</v>
      </c>
      <c r="M52" s="370" t="s">
        <v>126</v>
      </c>
      <c r="N52" s="370"/>
      <c r="O52" s="51"/>
      <c r="P52" s="53"/>
    </row>
    <row r="53" spans="1:16" ht="18" x14ac:dyDescent="0.3">
      <c r="A53" s="38"/>
      <c r="B53" s="77"/>
      <c r="C53" s="50" t="s">
        <v>123</v>
      </c>
      <c r="D53" s="50" t="s">
        <v>31</v>
      </c>
      <c r="E53" s="50">
        <v>1</v>
      </c>
      <c r="F53" s="50" t="s">
        <v>26</v>
      </c>
      <c r="G53" s="50" t="s">
        <v>34</v>
      </c>
      <c r="H53" s="50">
        <f>IF(Eingabetabelle!H53&lt;1,0,Eingabetabelle!H53-1)</f>
        <v>0</v>
      </c>
      <c r="I53" s="50" t="s">
        <v>31</v>
      </c>
      <c r="J53" s="80">
        <f>E53*H53</f>
        <v>0</v>
      </c>
      <c r="K53" s="50" t="s">
        <v>26</v>
      </c>
      <c r="L53" s="40" t="s">
        <v>93</v>
      </c>
      <c r="M53" s="370" t="s">
        <v>127</v>
      </c>
      <c r="N53" s="370"/>
      <c r="O53" s="370"/>
      <c r="P53" s="53"/>
    </row>
    <row r="54" spans="1:16" ht="18" x14ac:dyDescent="0.3">
      <c r="A54" s="38"/>
      <c r="B54" s="77"/>
      <c r="C54" s="70" t="s">
        <v>125</v>
      </c>
      <c r="D54" s="50" t="s">
        <v>31</v>
      </c>
      <c r="E54" s="40"/>
      <c r="F54" s="55"/>
      <c r="G54" s="51"/>
      <c r="H54" s="51"/>
      <c r="I54" s="51"/>
      <c r="J54" s="75">
        <f>SUM(J52:J53)</f>
        <v>0</v>
      </c>
      <c r="K54" s="70" t="s">
        <v>26</v>
      </c>
      <c r="L54" s="55"/>
      <c r="M54" s="55"/>
      <c r="N54" s="55"/>
      <c r="O54" s="51"/>
      <c r="P54" s="53"/>
    </row>
    <row r="55" spans="1:16" ht="6" customHeight="1" x14ac:dyDescent="0.2">
      <c r="A55" s="38"/>
      <c r="B55" s="77"/>
      <c r="C55" s="51"/>
      <c r="D55" s="40"/>
      <c r="E55" s="40"/>
      <c r="F55" s="55"/>
      <c r="G55" s="55"/>
      <c r="H55" s="55"/>
      <c r="I55" s="55"/>
      <c r="J55" s="55"/>
      <c r="K55" s="55"/>
      <c r="L55" s="55"/>
      <c r="M55" s="55"/>
      <c r="N55" s="51"/>
      <c r="O55" s="51"/>
      <c r="P55" s="53"/>
    </row>
    <row r="56" spans="1:16" ht="15.75" x14ac:dyDescent="0.25">
      <c r="A56" s="38"/>
      <c r="B56" s="77"/>
      <c r="C56" s="55"/>
      <c r="D56" s="40" t="s">
        <v>124</v>
      </c>
      <c r="E56" s="40" t="s">
        <v>42</v>
      </c>
      <c r="F56" s="55" t="s">
        <v>378</v>
      </c>
      <c r="G56" s="55"/>
      <c r="H56" s="55"/>
      <c r="I56" s="55"/>
      <c r="J56" s="55"/>
      <c r="K56" s="55"/>
      <c r="L56" s="55"/>
      <c r="M56" s="55"/>
      <c r="N56" s="51"/>
      <c r="O56" s="51"/>
      <c r="P56" s="54"/>
    </row>
    <row r="57" spans="1:16" ht="15" x14ac:dyDescent="0.2">
      <c r="A57" s="38"/>
      <c r="B57" s="77"/>
      <c r="C57" s="50"/>
      <c r="D57" s="50"/>
      <c r="E57" s="50"/>
      <c r="F57" s="50"/>
      <c r="G57" s="50"/>
      <c r="H57" s="50"/>
      <c r="I57" s="50"/>
      <c r="J57" s="50"/>
      <c r="K57" s="50"/>
      <c r="L57" s="51"/>
      <c r="M57" s="51"/>
      <c r="N57" s="51"/>
      <c r="O57" s="51"/>
      <c r="P57" s="54"/>
    </row>
    <row r="58" spans="1:16" ht="18" x14ac:dyDescent="0.3">
      <c r="A58" s="38"/>
      <c r="B58" s="77"/>
      <c r="C58" s="70" t="s">
        <v>129</v>
      </c>
      <c r="D58" s="50" t="s">
        <v>31</v>
      </c>
      <c r="E58" s="70">
        <f>Eingabetabelle!H68</f>
        <v>0</v>
      </c>
      <c r="F58" s="70" t="s">
        <v>26</v>
      </c>
      <c r="G58" s="55"/>
      <c r="H58" s="55"/>
      <c r="I58" s="55"/>
      <c r="J58" s="55"/>
      <c r="K58" s="55"/>
      <c r="L58" s="51"/>
      <c r="M58" s="51"/>
      <c r="N58" s="51"/>
      <c r="O58" s="51"/>
      <c r="P58" s="53"/>
    </row>
    <row r="59" spans="1:16" ht="6" customHeight="1" x14ac:dyDescent="0.2">
      <c r="A59" s="38"/>
      <c r="B59" s="77"/>
      <c r="C59" s="51"/>
      <c r="D59" s="51"/>
      <c r="E59" s="51"/>
      <c r="F59" s="51"/>
      <c r="G59" s="51"/>
      <c r="H59" s="51"/>
      <c r="I59" s="51"/>
      <c r="J59" s="50"/>
      <c r="K59" s="50"/>
      <c r="L59" s="51"/>
      <c r="M59" s="51"/>
      <c r="N59" s="51"/>
      <c r="O59" s="51"/>
      <c r="P59" s="53"/>
    </row>
    <row r="60" spans="1:16" ht="15.75" x14ac:dyDescent="0.25">
      <c r="A60" s="38"/>
      <c r="B60" s="77"/>
      <c r="C60" s="55"/>
      <c r="D60" s="40" t="s">
        <v>130</v>
      </c>
      <c r="E60" s="40" t="s">
        <v>42</v>
      </c>
      <c r="F60" s="55" t="s">
        <v>379</v>
      </c>
      <c r="G60" s="40"/>
      <c r="H60" s="40"/>
      <c r="I60" s="40"/>
      <c r="J60" s="40"/>
      <c r="K60" s="40"/>
      <c r="L60" s="55"/>
      <c r="M60" s="55"/>
      <c r="N60" s="55"/>
      <c r="O60" s="55"/>
      <c r="P60" s="53"/>
    </row>
    <row r="61" spans="1:16" ht="15" x14ac:dyDescent="0.2">
      <c r="A61" s="38"/>
      <c r="B61" s="77"/>
      <c r="C61" s="50"/>
      <c r="D61" s="51"/>
      <c r="E61" s="51"/>
      <c r="F61" s="51"/>
      <c r="G61" s="51"/>
      <c r="H61" s="51"/>
      <c r="I61" s="51"/>
      <c r="J61" s="50"/>
      <c r="K61" s="50"/>
      <c r="L61" s="51"/>
      <c r="M61" s="51"/>
      <c r="N61" s="51"/>
      <c r="O61" s="51"/>
      <c r="P61" s="53"/>
    </row>
    <row r="62" spans="1:16" ht="18" x14ac:dyDescent="0.3">
      <c r="A62" s="38"/>
      <c r="B62" s="77"/>
      <c r="C62" s="70" t="s">
        <v>112</v>
      </c>
      <c r="D62" s="50" t="s">
        <v>31</v>
      </c>
      <c r="E62" s="80">
        <f>M46</f>
        <v>0</v>
      </c>
      <c r="F62" s="80" t="s">
        <v>33</v>
      </c>
      <c r="G62" s="80">
        <f>J48</f>
        <v>0</v>
      </c>
      <c r="H62" s="80" t="s">
        <v>33</v>
      </c>
      <c r="I62" s="80">
        <f>J54</f>
        <v>0</v>
      </c>
      <c r="J62" s="80" t="s">
        <v>33</v>
      </c>
      <c r="K62" s="80">
        <f>E58</f>
        <v>0</v>
      </c>
      <c r="L62" s="80" t="s">
        <v>31</v>
      </c>
      <c r="M62" s="75">
        <f>E62+G62+I62+K62</f>
        <v>0</v>
      </c>
      <c r="N62" s="70" t="s">
        <v>26</v>
      </c>
      <c r="O62" s="51"/>
      <c r="P62" s="53"/>
    </row>
    <row r="63" spans="1:16" ht="21" customHeight="1" x14ac:dyDescent="0.2">
      <c r="A63" s="38"/>
      <c r="B63" s="83"/>
      <c r="C63" s="62"/>
      <c r="D63" s="62"/>
      <c r="E63" s="62"/>
      <c r="F63" s="62"/>
      <c r="G63" s="62"/>
      <c r="H63" s="62"/>
      <c r="I63" s="62"/>
      <c r="J63" s="62"/>
      <c r="K63" s="62"/>
      <c r="L63" s="62"/>
      <c r="M63" s="377"/>
      <c r="N63" s="378"/>
      <c r="O63" s="378"/>
      <c r="P63" s="379"/>
    </row>
    <row r="64" spans="1:16" ht="15.75" customHeight="1" x14ac:dyDescent="0.2">
      <c r="A64"/>
      <c r="B64" s="362" t="s">
        <v>272</v>
      </c>
      <c r="C64" s="363"/>
      <c r="D64" s="364"/>
      <c r="E64" s="350" t="str">
        <f>E1</f>
        <v/>
      </c>
      <c r="F64" s="351"/>
      <c r="G64" s="351"/>
      <c r="H64" s="351"/>
      <c r="I64" s="351"/>
      <c r="J64" s="351"/>
      <c r="K64" s="351"/>
      <c r="L64" s="351"/>
      <c r="M64" s="351"/>
      <c r="N64" s="352"/>
      <c r="O64" s="356"/>
      <c r="P64" s="357"/>
    </row>
    <row r="65" spans="1:19" ht="15.75" customHeight="1" x14ac:dyDescent="0.2">
      <c r="A65"/>
      <c r="B65" s="365"/>
      <c r="C65" s="366"/>
      <c r="D65" s="367"/>
      <c r="E65" s="353"/>
      <c r="F65" s="354"/>
      <c r="G65" s="354"/>
      <c r="H65" s="354"/>
      <c r="I65" s="354"/>
      <c r="J65" s="354"/>
      <c r="K65" s="354"/>
      <c r="L65" s="354"/>
      <c r="M65" s="354"/>
      <c r="N65" s="355"/>
      <c r="O65" s="358"/>
      <c r="P65" s="359"/>
    </row>
    <row r="66" spans="1:19" ht="24.75" customHeight="1" x14ac:dyDescent="0.2">
      <c r="A66" s="38"/>
      <c r="B66" s="77"/>
      <c r="C66" s="70" t="s">
        <v>52</v>
      </c>
      <c r="D66" s="50" t="s">
        <v>31</v>
      </c>
      <c r="E66" s="85">
        <f>IF(Eingabetabelle!H22&gt;Eingabetabelle!H34,Eingabetabelle!H22,Eingabetabelle!H34)</f>
        <v>0</v>
      </c>
      <c r="F66" s="370" t="s">
        <v>257</v>
      </c>
      <c r="G66" s="370"/>
      <c r="H66" s="55" t="s">
        <v>42</v>
      </c>
      <c r="I66" s="59" t="s">
        <v>53</v>
      </c>
      <c r="J66" s="55"/>
      <c r="K66" s="55"/>
      <c r="L66" s="51"/>
      <c r="M66" s="51"/>
      <c r="N66" s="51"/>
      <c r="O66" s="360"/>
      <c r="P66" s="361"/>
    </row>
    <row r="67" spans="1:19" ht="24.75" customHeight="1" x14ac:dyDescent="0.2">
      <c r="A67" s="38"/>
      <c r="B67" s="77"/>
      <c r="C67" s="50"/>
      <c r="D67" s="50"/>
      <c r="E67" s="80"/>
      <c r="F67" s="51"/>
      <c r="G67" s="52"/>
      <c r="H67" s="51"/>
      <c r="I67" s="51"/>
      <c r="J67" s="51"/>
      <c r="K67" s="51"/>
      <c r="L67" s="51"/>
      <c r="M67" s="51"/>
      <c r="N67" s="51"/>
      <c r="O67" s="37"/>
      <c r="P67" s="84"/>
    </row>
    <row r="68" spans="1:19" ht="15" x14ac:dyDescent="0.2">
      <c r="A68" s="38"/>
      <c r="B68" s="77"/>
      <c r="C68" s="371" t="s">
        <v>259</v>
      </c>
      <c r="D68" s="371"/>
      <c r="E68" s="371"/>
      <c r="F68" s="371"/>
      <c r="G68" s="371"/>
      <c r="H68" s="371"/>
      <c r="I68" s="371"/>
      <c r="J68" s="371"/>
      <c r="K68" s="371"/>
      <c r="L68" s="51"/>
      <c r="M68" s="51"/>
      <c r="N68" s="51"/>
      <c r="O68" s="51"/>
      <c r="P68" s="53"/>
    </row>
    <row r="69" spans="1:19" ht="15" customHeight="1" x14ac:dyDescent="0.2">
      <c r="A69" s="38"/>
      <c r="B69" s="77"/>
      <c r="C69" s="50"/>
      <c r="D69" s="50"/>
      <c r="E69" s="80"/>
      <c r="F69" s="51"/>
      <c r="G69" s="52"/>
      <c r="H69" s="51"/>
      <c r="I69" s="51"/>
      <c r="J69" s="51"/>
      <c r="K69" s="51"/>
      <c r="L69" s="51"/>
      <c r="M69" s="51"/>
      <c r="N69" s="51"/>
      <c r="O69" s="51"/>
      <c r="P69" s="53"/>
      <c r="R69" s="197" t="s">
        <v>499</v>
      </c>
    </row>
    <row r="70" spans="1:19" ht="15" customHeight="1" x14ac:dyDescent="0.2">
      <c r="A70" s="38"/>
      <c r="B70" s="77"/>
      <c r="C70" s="40"/>
      <c r="D70" s="40"/>
      <c r="E70" s="55"/>
      <c r="F70" s="55"/>
      <c r="G70" s="55"/>
      <c r="H70" s="55"/>
      <c r="I70" s="55"/>
      <c r="J70" s="55"/>
      <c r="K70" s="368" t="s">
        <v>57</v>
      </c>
      <c r="L70" s="368"/>
      <c r="M70" s="368" t="s">
        <v>495</v>
      </c>
      <c r="N70" s="368"/>
      <c r="O70" s="193" t="s">
        <v>58</v>
      </c>
      <c r="P70" s="194"/>
    </row>
    <row r="71" spans="1:19" ht="15" customHeight="1" x14ac:dyDescent="0.2">
      <c r="A71" s="38"/>
      <c r="B71" s="77"/>
      <c r="C71" s="42" t="s">
        <v>52</v>
      </c>
      <c r="D71" s="42" t="s">
        <v>31</v>
      </c>
      <c r="E71" s="42"/>
      <c r="F71" s="42" t="s">
        <v>56</v>
      </c>
      <c r="G71" s="35">
        <v>0.85</v>
      </c>
      <c r="H71" s="46"/>
      <c r="I71" s="42" t="s">
        <v>46</v>
      </c>
      <c r="J71" s="42" t="s">
        <v>31</v>
      </c>
      <c r="K71" s="369">
        <v>1</v>
      </c>
      <c r="L71" s="369"/>
      <c r="M71" s="369">
        <v>1</v>
      </c>
      <c r="N71" s="369"/>
      <c r="O71" s="381">
        <v>1</v>
      </c>
      <c r="P71" s="382"/>
    </row>
    <row r="72" spans="1:19" ht="15" x14ac:dyDescent="0.2">
      <c r="A72" s="38"/>
      <c r="B72" s="77"/>
      <c r="C72" s="42" t="s">
        <v>52</v>
      </c>
      <c r="D72" s="42" t="s">
        <v>31</v>
      </c>
      <c r="E72" s="35">
        <v>0.85</v>
      </c>
      <c r="F72" s="42" t="s">
        <v>56</v>
      </c>
      <c r="G72" s="35">
        <v>0.9</v>
      </c>
      <c r="H72" s="46"/>
      <c r="I72" s="42" t="s">
        <v>46</v>
      </c>
      <c r="J72" s="42" t="s">
        <v>31</v>
      </c>
      <c r="K72" s="369">
        <v>1</v>
      </c>
      <c r="L72" s="369"/>
      <c r="M72" s="369">
        <v>1.5</v>
      </c>
      <c r="N72" s="369"/>
      <c r="O72" s="381">
        <v>2</v>
      </c>
      <c r="P72" s="382"/>
    </row>
    <row r="73" spans="1:19" ht="15" x14ac:dyDescent="0.2">
      <c r="A73" s="38"/>
      <c r="B73" s="77"/>
      <c r="C73" s="42" t="s">
        <v>52</v>
      </c>
      <c r="D73" s="42" t="s">
        <v>31</v>
      </c>
      <c r="E73" s="35">
        <v>0.9</v>
      </c>
      <c r="F73" s="42" t="s">
        <v>56</v>
      </c>
      <c r="G73" s="35">
        <v>0.95</v>
      </c>
      <c r="H73" s="46"/>
      <c r="I73" s="42" t="s">
        <v>46</v>
      </c>
      <c r="J73" s="42" t="s">
        <v>31</v>
      </c>
      <c r="K73" s="369">
        <v>1</v>
      </c>
      <c r="L73" s="369"/>
      <c r="M73" s="369">
        <v>2</v>
      </c>
      <c r="N73" s="369"/>
      <c r="O73" s="381">
        <v>3</v>
      </c>
      <c r="P73" s="382"/>
      <c r="S73" s="4">
        <f>IF(E66&gt;0.9,-1,0)</f>
        <v>0</v>
      </c>
    </row>
    <row r="74" spans="1:19" ht="15" x14ac:dyDescent="0.2">
      <c r="A74" s="38"/>
      <c r="B74" s="77"/>
      <c r="C74" s="40"/>
      <c r="D74" s="40"/>
      <c r="E74" s="78"/>
      <c r="F74" s="40"/>
      <c r="G74" s="86"/>
      <c r="H74" s="55"/>
      <c r="I74" s="40"/>
      <c r="J74" s="40"/>
      <c r="K74" s="87"/>
      <c r="L74" s="87"/>
      <c r="M74" s="87"/>
      <c r="N74" s="87"/>
      <c r="P74" s="235"/>
      <c r="S74" s="4">
        <f>IF(E66&gt;0.8501,1,0)</f>
        <v>0</v>
      </c>
    </row>
    <row r="75" spans="1:19" ht="15" x14ac:dyDescent="0.2">
      <c r="A75" s="38"/>
      <c r="B75" s="77"/>
      <c r="C75" s="40" t="s">
        <v>59</v>
      </c>
      <c r="D75" s="72" t="s">
        <v>60</v>
      </c>
      <c r="E75" s="72"/>
      <c r="F75" s="72"/>
      <c r="G75" s="72"/>
      <c r="H75" s="72"/>
      <c r="I75" s="72"/>
      <c r="J75" s="72"/>
      <c r="K75" s="72"/>
      <c r="L75" s="72"/>
      <c r="M75" s="72"/>
      <c r="N75" s="72"/>
      <c r="P75" s="106"/>
      <c r="S75" s="4">
        <f>SUM(S73:S74)</f>
        <v>0</v>
      </c>
    </row>
    <row r="76" spans="1:19" ht="15" customHeight="1" x14ac:dyDescent="0.2">
      <c r="A76" s="38"/>
      <c r="B76" s="77"/>
      <c r="C76" s="55" t="s">
        <v>265</v>
      </c>
      <c r="D76" s="50"/>
      <c r="E76" s="51"/>
      <c r="F76" s="51"/>
      <c r="G76" s="51"/>
      <c r="H76" s="51"/>
      <c r="I76" s="51"/>
      <c r="J76" s="51"/>
      <c r="K76" s="51"/>
      <c r="L76" s="51"/>
      <c r="M76" s="51"/>
      <c r="N76" s="51"/>
      <c r="O76" s="87"/>
      <c r="P76" s="88"/>
    </row>
    <row r="77" spans="1:19" ht="15" x14ac:dyDescent="0.2">
      <c r="A77" s="38"/>
      <c r="B77" s="77"/>
      <c r="C77" s="55"/>
      <c r="D77" s="50"/>
      <c r="E77" s="51"/>
      <c r="F77" s="51"/>
      <c r="G77" s="51"/>
      <c r="H77" s="51"/>
      <c r="I77" s="51"/>
      <c r="J77" s="51"/>
      <c r="K77" s="51"/>
      <c r="L77" s="51"/>
      <c r="M77" s="51"/>
      <c r="N77" s="51"/>
      <c r="O77" s="72"/>
      <c r="P77" s="76"/>
    </row>
    <row r="78" spans="1:19" ht="18" x14ac:dyDescent="0.3">
      <c r="A78" s="38"/>
      <c r="B78" s="204"/>
      <c r="C78" s="205" t="s">
        <v>535</v>
      </c>
      <c r="D78" s="184" t="s">
        <v>31</v>
      </c>
      <c r="E78" s="206">
        <f>IF(Eingabetabelle!H29&gt;10,N88,K88)</f>
        <v>1</v>
      </c>
      <c r="F78" s="374"/>
      <c r="G78" s="374"/>
      <c r="H78" s="165" t="s">
        <v>42</v>
      </c>
      <c r="I78" s="195" t="s">
        <v>536</v>
      </c>
      <c r="J78" s="165"/>
      <c r="K78" s="165"/>
      <c r="L78" s="182"/>
      <c r="M78" s="182"/>
      <c r="N78" s="182"/>
      <c r="O78" s="51"/>
      <c r="P78" s="53"/>
    </row>
    <row r="79" spans="1:19" ht="15" x14ac:dyDescent="0.2">
      <c r="A79" s="38"/>
      <c r="B79" s="77"/>
      <c r="C79" s="55"/>
      <c r="D79" s="50"/>
      <c r="E79" s="51"/>
      <c r="F79" s="51"/>
      <c r="G79" s="51"/>
      <c r="H79" s="51"/>
      <c r="I79" s="51"/>
      <c r="J79" s="51"/>
      <c r="K79" s="51"/>
      <c r="L79" s="51"/>
      <c r="M79" s="51"/>
      <c r="N79" s="51"/>
      <c r="O79" s="51"/>
      <c r="P79" s="53"/>
    </row>
    <row r="80" spans="1:19" s="207" customFormat="1" ht="15" x14ac:dyDescent="0.2">
      <c r="A80" s="203"/>
      <c r="B80" s="77"/>
      <c r="C80" s="394" t="s">
        <v>500</v>
      </c>
      <c r="D80" s="394"/>
      <c r="E80" s="394"/>
      <c r="F80" s="394"/>
      <c r="G80" s="394"/>
      <c r="H80" s="394"/>
      <c r="I80" s="394"/>
      <c r="J80" s="394"/>
      <c r="K80" s="394"/>
      <c r="L80" s="182"/>
      <c r="M80" s="182"/>
      <c r="N80" s="182"/>
      <c r="O80" s="182"/>
      <c r="P80" s="198"/>
    </row>
    <row r="81" spans="1:41" ht="15.75" x14ac:dyDescent="0.25">
      <c r="A81" s="38"/>
      <c r="B81" s="77"/>
      <c r="C81" s="210" t="s">
        <v>537</v>
      </c>
      <c r="D81" s="210"/>
      <c r="E81" s="210"/>
      <c r="F81" s="210"/>
      <c r="G81" s="210"/>
      <c r="H81" s="210"/>
      <c r="I81" s="210"/>
      <c r="J81" s="210"/>
      <c r="K81" s="210"/>
      <c r="L81" s="210"/>
      <c r="M81" s="210"/>
      <c r="N81" s="210"/>
      <c r="O81" s="210"/>
      <c r="P81" s="211"/>
    </row>
    <row r="82" spans="1:41" ht="15" x14ac:dyDescent="0.2">
      <c r="A82" s="38"/>
      <c r="B82" s="77"/>
      <c r="C82" s="411" t="s">
        <v>496</v>
      </c>
      <c r="D82" s="412"/>
      <c r="E82" s="412"/>
      <c r="F82" s="421" t="s">
        <v>497</v>
      </c>
      <c r="G82" s="422"/>
      <c r="H82" s="422"/>
      <c r="I82" s="422"/>
      <c r="J82" s="422"/>
      <c r="K82" s="422"/>
      <c r="L82" s="422"/>
      <c r="M82" s="422"/>
      <c r="N82" s="422"/>
      <c r="O82" s="422"/>
      <c r="P82" s="423"/>
    </row>
    <row r="83" spans="1:41" ht="15.75" x14ac:dyDescent="0.25">
      <c r="A83" s="38"/>
      <c r="B83" s="77"/>
      <c r="C83" s="413"/>
      <c r="D83" s="414"/>
      <c r="E83" s="414"/>
      <c r="F83" s="424" t="s">
        <v>501</v>
      </c>
      <c r="G83" s="425"/>
      <c r="H83" s="425"/>
      <c r="I83" s="425"/>
      <c r="J83" s="425"/>
      <c r="K83" s="425"/>
      <c r="L83" s="425"/>
      <c r="M83" s="425"/>
      <c r="N83" s="425"/>
      <c r="O83" s="425"/>
      <c r="P83" s="426"/>
    </row>
    <row r="84" spans="1:41" ht="15" x14ac:dyDescent="0.2">
      <c r="A84" s="38"/>
      <c r="B84" s="77"/>
      <c r="C84" s="413"/>
      <c r="D84" s="414"/>
      <c r="E84" s="414"/>
      <c r="F84" s="420" t="s">
        <v>498</v>
      </c>
      <c r="G84" s="418"/>
      <c r="H84" s="418"/>
      <c r="I84" s="418"/>
      <c r="J84" s="418"/>
      <c r="K84" s="418"/>
      <c r="L84" s="418"/>
      <c r="M84" s="418"/>
      <c r="N84" s="418"/>
      <c r="O84" s="418"/>
      <c r="P84" s="419"/>
    </row>
    <row r="85" spans="1:41" ht="19.5" customHeight="1" x14ac:dyDescent="0.25">
      <c r="A85" s="38"/>
      <c r="B85" s="77"/>
      <c r="C85" s="415"/>
      <c r="D85" s="416"/>
      <c r="E85" s="417"/>
      <c r="F85" s="418" t="s">
        <v>502</v>
      </c>
      <c r="G85" s="419"/>
      <c r="H85" s="420" t="s">
        <v>503</v>
      </c>
      <c r="I85" s="418"/>
      <c r="J85" s="419"/>
      <c r="K85" s="420" t="s">
        <v>504</v>
      </c>
      <c r="L85" s="418"/>
      <c r="M85" s="418"/>
      <c r="N85" s="427" t="s">
        <v>505</v>
      </c>
      <c r="O85" s="427"/>
      <c r="P85" s="427"/>
    </row>
    <row r="86" spans="1:41" ht="15" x14ac:dyDescent="0.2">
      <c r="A86" s="38"/>
      <c r="B86" s="77"/>
      <c r="C86" s="395" t="s">
        <v>495</v>
      </c>
      <c r="D86" s="395"/>
      <c r="E86" s="395"/>
      <c r="F86" s="397">
        <v>1</v>
      </c>
      <c r="G86" s="398"/>
      <c r="H86" s="396">
        <v>1.25</v>
      </c>
      <c r="I86" s="397" t="s">
        <v>46</v>
      </c>
      <c r="J86" s="398" t="s">
        <v>31</v>
      </c>
      <c r="K86" s="396">
        <v>1.5</v>
      </c>
      <c r="L86" s="397"/>
      <c r="M86" s="397"/>
      <c r="N86" s="395">
        <v>1.75</v>
      </c>
      <c r="O86" s="395"/>
      <c r="P86" s="395"/>
    </row>
    <row r="87" spans="1:41" ht="18" customHeight="1" x14ac:dyDescent="0.2">
      <c r="A87" s="38"/>
      <c r="B87" s="77"/>
      <c r="C87" s="395" t="s">
        <v>58</v>
      </c>
      <c r="D87" s="395"/>
      <c r="E87" s="395"/>
      <c r="F87" s="397">
        <v>1</v>
      </c>
      <c r="G87" s="398"/>
      <c r="H87" s="396">
        <v>1</v>
      </c>
      <c r="I87" s="397" t="s">
        <v>46</v>
      </c>
      <c r="J87" s="398" t="s">
        <v>31</v>
      </c>
      <c r="K87" s="396">
        <v>1.25</v>
      </c>
      <c r="L87" s="397"/>
      <c r="M87" s="397"/>
      <c r="N87" s="395">
        <v>1.5</v>
      </c>
      <c r="O87" s="395"/>
      <c r="P87" s="395"/>
    </row>
    <row r="88" spans="1:41" ht="15" x14ac:dyDescent="0.2">
      <c r="A88" s="38"/>
      <c r="B88" s="77"/>
      <c r="C88" s="404" t="s">
        <v>57</v>
      </c>
      <c r="D88" s="405"/>
      <c r="E88" s="406"/>
      <c r="F88" s="392">
        <v>1</v>
      </c>
      <c r="G88" s="393"/>
      <c r="H88" s="399">
        <v>1</v>
      </c>
      <c r="I88" s="392" t="s">
        <v>46</v>
      </c>
      <c r="J88" s="393" t="s">
        <v>31</v>
      </c>
      <c r="K88" s="399">
        <v>1</v>
      </c>
      <c r="L88" s="392"/>
      <c r="M88" s="392">
        <v>2</v>
      </c>
      <c r="N88" s="410">
        <v>1.25</v>
      </c>
      <c r="O88" s="410"/>
      <c r="P88" s="410"/>
    </row>
    <row r="89" spans="1:41" ht="15" x14ac:dyDescent="0.2">
      <c r="A89" s="38"/>
      <c r="B89" s="77"/>
      <c r="C89" s="183"/>
      <c r="D89" s="183"/>
      <c r="E89" s="183"/>
      <c r="F89" s="199"/>
      <c r="G89" s="199"/>
      <c r="H89" s="199"/>
      <c r="I89" s="199"/>
      <c r="J89" s="199"/>
      <c r="K89" s="199"/>
      <c r="L89" s="199"/>
      <c r="M89" s="199"/>
      <c r="N89" s="199"/>
      <c r="O89" s="199"/>
      <c r="P89" s="200"/>
      <c r="AO89" s="104"/>
    </row>
    <row r="90" spans="1:41" ht="15" x14ac:dyDescent="0.2">
      <c r="A90" s="38"/>
      <c r="B90" s="77"/>
      <c r="C90" s="40" t="s">
        <v>59</v>
      </c>
      <c r="D90" s="72" t="s">
        <v>60</v>
      </c>
      <c r="E90" s="72"/>
      <c r="F90" s="72"/>
      <c r="G90" s="72"/>
      <c r="H90" s="72"/>
      <c r="I90" s="72"/>
      <c r="J90" s="72"/>
      <c r="K90" s="72"/>
      <c r="L90" s="72"/>
      <c r="M90" s="72"/>
      <c r="N90" s="72"/>
      <c r="O90" s="72"/>
      <c r="P90" s="76"/>
      <c r="AO90" s="104"/>
    </row>
    <row r="91" spans="1:41" ht="15" x14ac:dyDescent="0.2">
      <c r="A91" s="38"/>
      <c r="B91" s="77"/>
      <c r="C91" s="55" t="s">
        <v>265</v>
      </c>
      <c r="D91" s="50"/>
      <c r="E91" s="51"/>
      <c r="F91" s="51"/>
      <c r="G91" s="51"/>
      <c r="H91" s="51"/>
      <c r="I91" s="51"/>
      <c r="J91" s="51"/>
      <c r="K91" s="51"/>
      <c r="L91" s="51"/>
      <c r="M91" s="51"/>
      <c r="N91" s="51"/>
      <c r="O91" s="51"/>
      <c r="P91" s="53"/>
      <c r="AO91" s="104"/>
    </row>
    <row r="92" spans="1:41" ht="15" x14ac:dyDescent="0.2">
      <c r="A92" s="38"/>
      <c r="B92" s="77"/>
      <c r="C92" s="55"/>
      <c r="D92" s="50"/>
      <c r="E92" s="51"/>
      <c r="F92" s="51"/>
      <c r="G92" s="51"/>
      <c r="H92" s="51"/>
      <c r="I92" s="51"/>
      <c r="J92" s="51"/>
      <c r="K92" s="51"/>
      <c r="L92" s="51"/>
      <c r="M92" s="51"/>
      <c r="N92" s="51"/>
      <c r="O92" s="51"/>
      <c r="P92" s="53"/>
      <c r="AO92" s="104"/>
    </row>
    <row r="93" spans="1:41" ht="15.75" x14ac:dyDescent="0.25">
      <c r="A93" s="38"/>
      <c r="B93" s="49" t="s">
        <v>64</v>
      </c>
      <c r="C93" s="391" t="s">
        <v>69</v>
      </c>
      <c r="D93" s="391"/>
      <c r="E93" s="391"/>
      <c r="F93" s="391"/>
      <c r="G93" s="391"/>
      <c r="H93" s="391"/>
      <c r="I93" s="391"/>
      <c r="J93" s="391"/>
      <c r="K93" s="71"/>
      <c r="L93" s="71"/>
      <c r="M93" s="71"/>
      <c r="N93" s="71"/>
      <c r="O93" s="71"/>
      <c r="P93" s="76"/>
      <c r="AO93" s="104"/>
    </row>
    <row r="94" spans="1:41" ht="15" x14ac:dyDescent="0.2">
      <c r="A94" s="38"/>
      <c r="B94" s="89"/>
      <c r="C94" s="40"/>
      <c r="D94" s="40"/>
      <c r="E94" s="40"/>
      <c r="F94" s="40"/>
      <c r="G94" s="40"/>
      <c r="H94" s="40"/>
      <c r="I94" s="40"/>
      <c r="J94" s="40"/>
      <c r="K94" s="40"/>
      <c r="L94" s="40"/>
      <c r="M94" s="40"/>
      <c r="N94" s="50"/>
      <c r="O94" s="50"/>
      <c r="P94" s="54"/>
      <c r="AO94" s="104"/>
    </row>
    <row r="95" spans="1:41" ht="18" x14ac:dyDescent="0.3">
      <c r="A95" s="38"/>
      <c r="B95" s="69"/>
      <c r="C95" s="70" t="s">
        <v>253</v>
      </c>
      <c r="D95" s="50" t="s">
        <v>31</v>
      </c>
      <c r="E95" s="50" t="s">
        <v>32</v>
      </c>
      <c r="F95" s="50" t="s">
        <v>104</v>
      </c>
      <c r="G95" s="50" t="s">
        <v>33</v>
      </c>
      <c r="H95" s="50" t="s">
        <v>102</v>
      </c>
      <c r="I95" s="50" t="s">
        <v>34</v>
      </c>
      <c r="J95" s="50" t="s">
        <v>103</v>
      </c>
      <c r="K95" s="50" t="s">
        <v>35</v>
      </c>
      <c r="L95" s="50" t="s">
        <v>34</v>
      </c>
      <c r="M95" s="50" t="s">
        <v>252</v>
      </c>
      <c r="N95" s="184"/>
      <c r="O95" s="182"/>
      <c r="P95" s="54"/>
      <c r="AO95" s="104"/>
    </row>
    <row r="96" spans="1:41" ht="15" x14ac:dyDescent="0.2">
      <c r="A96" s="38"/>
      <c r="B96" s="69"/>
      <c r="C96" s="50"/>
      <c r="D96" s="50"/>
      <c r="E96" s="50"/>
      <c r="F96" s="50"/>
      <c r="G96" s="50"/>
      <c r="H96" s="50"/>
      <c r="I96" s="50"/>
      <c r="J96" s="80"/>
      <c r="K96" s="50"/>
      <c r="L96" s="50"/>
      <c r="M96" s="50"/>
      <c r="N96" s="50"/>
      <c r="O96" s="50"/>
      <c r="P96" s="54"/>
    </row>
    <row r="97" spans="1:16" ht="15.75" x14ac:dyDescent="0.25">
      <c r="A97" s="38"/>
      <c r="B97" s="69"/>
      <c r="C97" s="50"/>
      <c r="D97" s="40" t="s">
        <v>262</v>
      </c>
      <c r="E97" s="40" t="s">
        <v>93</v>
      </c>
      <c r="F97" s="59" t="s">
        <v>264</v>
      </c>
      <c r="G97" s="40"/>
      <c r="H97" s="50"/>
      <c r="I97" s="50"/>
      <c r="J97" s="80"/>
      <c r="K97" s="50"/>
      <c r="L97" s="50"/>
      <c r="M97" s="50"/>
      <c r="N97" s="50"/>
      <c r="O97" s="50"/>
      <c r="P97" s="54"/>
    </row>
    <row r="98" spans="1:16" ht="15" x14ac:dyDescent="0.2">
      <c r="A98" s="38"/>
      <c r="B98" s="69"/>
      <c r="C98" s="50"/>
      <c r="D98" s="50"/>
      <c r="E98" s="50"/>
      <c r="F98" s="50"/>
      <c r="G98" s="50"/>
      <c r="H98" s="50"/>
      <c r="I98" s="50"/>
      <c r="J98" s="80"/>
      <c r="K98" s="50"/>
      <c r="L98" s="50"/>
      <c r="M98" s="50"/>
      <c r="N98" s="50"/>
      <c r="O98" s="50"/>
      <c r="P98" s="54"/>
    </row>
    <row r="99" spans="1:16" ht="15.75" x14ac:dyDescent="0.25">
      <c r="A99" s="38"/>
      <c r="B99" s="69"/>
      <c r="C99" s="50"/>
      <c r="D99" s="40" t="s">
        <v>263</v>
      </c>
      <c r="E99" s="40" t="s">
        <v>93</v>
      </c>
      <c r="F99" s="59" t="s">
        <v>324</v>
      </c>
      <c r="G99" s="40"/>
      <c r="H99" s="40"/>
      <c r="I99" s="40"/>
      <c r="J99" s="78"/>
      <c r="K99" s="40"/>
      <c r="L99" s="40"/>
      <c r="M99" s="50"/>
      <c r="N99" s="50"/>
      <c r="O99" s="50"/>
      <c r="P99" s="54"/>
    </row>
    <row r="100" spans="1:16" ht="15" x14ac:dyDescent="0.2">
      <c r="A100" s="38"/>
      <c r="B100" s="69"/>
      <c r="C100" s="50"/>
      <c r="D100" s="50"/>
      <c r="E100" s="50"/>
      <c r="F100" s="50"/>
      <c r="G100" s="50"/>
      <c r="H100" s="50"/>
      <c r="I100" s="50"/>
      <c r="J100" s="80"/>
      <c r="K100" s="50"/>
      <c r="L100" s="50"/>
      <c r="M100" s="50"/>
      <c r="N100" s="50"/>
      <c r="O100" s="50"/>
      <c r="P100" s="54"/>
    </row>
    <row r="101" spans="1:16" ht="18" x14ac:dyDescent="0.3">
      <c r="A101" s="38"/>
      <c r="B101" s="69"/>
      <c r="C101" s="50"/>
      <c r="D101" s="50" t="s">
        <v>252</v>
      </c>
      <c r="E101" s="50" t="s">
        <v>31</v>
      </c>
      <c r="F101" s="50">
        <v>100</v>
      </c>
      <c r="G101" s="50" t="s">
        <v>71</v>
      </c>
      <c r="H101" s="71" t="s">
        <v>72</v>
      </c>
      <c r="I101" s="71"/>
      <c r="J101" s="71"/>
      <c r="K101" s="71"/>
      <c r="L101" s="71"/>
      <c r="M101" s="71"/>
      <c r="N101" s="71"/>
      <c r="O101" s="71"/>
      <c r="P101" s="76"/>
    </row>
    <row r="102" spans="1:16" ht="15" x14ac:dyDescent="0.2">
      <c r="A102" s="38"/>
      <c r="B102" s="69"/>
      <c r="C102" s="50"/>
      <c r="D102" s="50"/>
      <c r="E102" s="50"/>
      <c r="F102" s="50"/>
      <c r="G102" s="50"/>
      <c r="H102" s="71" t="s">
        <v>373</v>
      </c>
      <c r="I102" s="71"/>
      <c r="J102" s="71"/>
      <c r="K102" s="71"/>
      <c r="L102" s="71"/>
      <c r="M102" s="71"/>
      <c r="N102" s="71"/>
      <c r="O102" s="71"/>
      <c r="P102" s="76"/>
    </row>
    <row r="103" spans="1:16" ht="15" x14ac:dyDescent="0.2">
      <c r="A103" s="38"/>
      <c r="B103" s="69"/>
      <c r="C103" s="50"/>
      <c r="D103" s="50"/>
      <c r="E103" s="50"/>
      <c r="F103" s="50"/>
      <c r="G103" s="50"/>
      <c r="H103" s="71" t="s">
        <v>73</v>
      </c>
      <c r="I103" s="71"/>
      <c r="J103" s="71"/>
      <c r="K103" s="71"/>
      <c r="L103" s="71"/>
      <c r="M103" s="71"/>
      <c r="N103" s="71"/>
      <c r="O103" s="71"/>
      <c r="P103" s="76"/>
    </row>
    <row r="104" spans="1:16" ht="18" x14ac:dyDescent="0.3">
      <c r="A104" s="38"/>
      <c r="B104" s="69"/>
      <c r="C104" s="50"/>
      <c r="D104" s="50" t="s">
        <v>252</v>
      </c>
      <c r="E104" s="50" t="s">
        <v>31</v>
      </c>
      <c r="F104" s="50">
        <v>200</v>
      </c>
      <c r="G104" s="50" t="s">
        <v>71</v>
      </c>
      <c r="H104" s="71" t="s">
        <v>74</v>
      </c>
      <c r="I104" s="71"/>
      <c r="J104" s="71"/>
      <c r="K104" s="71"/>
      <c r="L104" s="71"/>
      <c r="M104" s="71"/>
      <c r="N104" s="71"/>
      <c r="O104" s="71"/>
      <c r="P104" s="76"/>
    </row>
    <row r="105" spans="1:16" ht="15" x14ac:dyDescent="0.2">
      <c r="A105" s="38"/>
      <c r="B105" s="69"/>
      <c r="C105" s="50"/>
      <c r="D105" s="50"/>
      <c r="E105" s="50"/>
      <c r="F105" s="50"/>
      <c r="G105" s="50"/>
      <c r="H105" s="71" t="s">
        <v>78</v>
      </c>
      <c r="I105" s="71"/>
      <c r="J105" s="71"/>
      <c r="K105" s="71"/>
      <c r="L105" s="71"/>
      <c r="M105" s="71"/>
      <c r="N105" s="71"/>
      <c r="O105" s="71"/>
      <c r="P105" s="76"/>
    </row>
    <row r="106" spans="1:16" ht="15" x14ac:dyDescent="0.2">
      <c r="A106" s="38"/>
      <c r="B106" s="69"/>
      <c r="C106" s="50"/>
      <c r="D106" s="50"/>
      <c r="E106" s="50"/>
      <c r="F106" s="50"/>
      <c r="G106" s="50"/>
      <c r="H106" s="71" t="s">
        <v>85</v>
      </c>
      <c r="I106" s="71"/>
      <c r="J106" s="71"/>
      <c r="K106" s="71"/>
      <c r="L106" s="71"/>
      <c r="M106" s="71"/>
      <c r="N106" s="71"/>
      <c r="O106" s="71"/>
      <c r="P106" s="76"/>
    </row>
    <row r="107" spans="1:16" ht="15" x14ac:dyDescent="0.2">
      <c r="A107" s="38"/>
      <c r="B107" s="69"/>
      <c r="C107" s="50"/>
      <c r="D107" s="50"/>
      <c r="E107" s="50"/>
      <c r="F107" s="50"/>
      <c r="G107" s="50"/>
      <c r="H107" s="71" t="s">
        <v>79</v>
      </c>
      <c r="I107" s="71"/>
      <c r="J107" s="71"/>
      <c r="K107" s="71"/>
      <c r="L107" s="71"/>
      <c r="M107" s="71"/>
      <c r="N107" s="71"/>
      <c r="O107" s="71"/>
      <c r="P107" s="76"/>
    </row>
    <row r="108" spans="1:16" ht="18" x14ac:dyDescent="0.3">
      <c r="A108" s="38"/>
      <c r="B108" s="69"/>
      <c r="C108" s="50"/>
      <c r="D108" s="50" t="s">
        <v>252</v>
      </c>
      <c r="E108" s="50" t="s">
        <v>31</v>
      </c>
      <c r="F108" s="50">
        <v>300</v>
      </c>
      <c r="G108" s="50" t="s">
        <v>71</v>
      </c>
      <c r="H108" s="71" t="s">
        <v>80</v>
      </c>
      <c r="I108" s="71"/>
      <c r="J108" s="71"/>
      <c r="K108" s="71"/>
      <c r="L108" s="71"/>
      <c r="M108" s="71"/>
      <c r="N108" s="71"/>
      <c r="O108" s="71"/>
      <c r="P108" s="76"/>
    </row>
    <row r="109" spans="1:16" ht="15" x14ac:dyDescent="0.2">
      <c r="A109" s="38"/>
      <c r="B109" s="69"/>
      <c r="C109" s="50"/>
      <c r="D109" s="50"/>
      <c r="E109" s="50"/>
      <c r="F109" s="50"/>
      <c r="G109" s="50"/>
      <c r="H109" s="71" t="s">
        <v>81</v>
      </c>
      <c r="I109" s="71"/>
      <c r="J109" s="71"/>
      <c r="K109" s="71"/>
      <c r="L109" s="71"/>
      <c r="M109" s="71"/>
      <c r="N109" s="71"/>
      <c r="O109" s="71"/>
      <c r="P109" s="76"/>
    </row>
    <row r="110" spans="1:16" ht="15" x14ac:dyDescent="0.2">
      <c r="A110" s="38"/>
      <c r="B110" s="69"/>
      <c r="C110" s="50"/>
      <c r="D110" s="50"/>
      <c r="E110" s="50"/>
      <c r="F110" s="50"/>
      <c r="G110" s="71"/>
      <c r="H110" s="71" t="s">
        <v>82</v>
      </c>
      <c r="I110" s="71"/>
      <c r="J110" s="71"/>
      <c r="K110" s="71"/>
      <c r="L110" s="71"/>
      <c r="M110" s="71"/>
      <c r="N110" s="71"/>
      <c r="O110" s="71"/>
      <c r="P110" s="76"/>
    </row>
    <row r="111" spans="1:16" ht="15" x14ac:dyDescent="0.2">
      <c r="A111" s="38"/>
      <c r="B111" s="69"/>
      <c r="C111" s="50"/>
      <c r="D111" s="50"/>
      <c r="E111" s="50"/>
      <c r="F111" s="50"/>
      <c r="G111" s="50"/>
      <c r="H111" s="71" t="s">
        <v>83</v>
      </c>
      <c r="I111" s="71"/>
      <c r="J111" s="71"/>
      <c r="K111" s="71"/>
      <c r="L111" s="71"/>
      <c r="M111" s="71"/>
      <c r="N111" s="71"/>
      <c r="O111" s="71"/>
      <c r="P111" s="76"/>
    </row>
    <row r="112" spans="1:16" ht="15" x14ac:dyDescent="0.2">
      <c r="A112" s="38"/>
      <c r="B112" s="69"/>
      <c r="C112" s="50"/>
      <c r="D112" s="50"/>
      <c r="E112" s="50"/>
      <c r="F112" s="50"/>
      <c r="G112" s="50"/>
      <c r="H112" s="71" t="s">
        <v>84</v>
      </c>
      <c r="I112" s="71"/>
      <c r="J112" s="71"/>
      <c r="K112" s="71"/>
      <c r="L112" s="71"/>
      <c r="M112" s="71"/>
      <c r="N112" s="71"/>
      <c r="O112" s="71"/>
      <c r="P112" s="76"/>
    </row>
    <row r="113" spans="1:37" ht="15.75" x14ac:dyDescent="0.25">
      <c r="A113" s="38"/>
      <c r="B113" s="69"/>
      <c r="C113" s="50"/>
      <c r="D113" s="183" t="s">
        <v>541</v>
      </c>
      <c r="E113" s="183" t="s">
        <v>31</v>
      </c>
      <c r="F113" s="184">
        <v>400</v>
      </c>
      <c r="G113" s="184" t="s">
        <v>71</v>
      </c>
      <c r="H113" s="186" t="s">
        <v>534</v>
      </c>
      <c r="I113" s="186"/>
      <c r="J113" s="186"/>
      <c r="K113" s="71"/>
      <c r="L113" s="71"/>
      <c r="M113" s="71"/>
      <c r="N113" s="71"/>
      <c r="O113" s="71"/>
      <c r="P113" s="76"/>
    </row>
    <row r="114" spans="1:37" ht="15" x14ac:dyDescent="0.2">
      <c r="A114" s="38"/>
      <c r="B114" s="69"/>
      <c r="C114" s="50"/>
      <c r="D114" s="183"/>
      <c r="E114" s="183"/>
      <c r="F114" s="184"/>
      <c r="G114" s="184"/>
      <c r="H114" s="186" t="s">
        <v>533</v>
      </c>
      <c r="I114" s="186"/>
      <c r="J114" s="186"/>
      <c r="K114" s="71"/>
      <c r="L114" s="71"/>
      <c r="M114" s="71"/>
      <c r="N114" s="71"/>
      <c r="O114" s="71"/>
      <c r="P114" s="76"/>
    </row>
    <row r="115" spans="1:37" ht="15" x14ac:dyDescent="0.2">
      <c r="A115" s="38"/>
      <c r="B115" s="69"/>
      <c r="C115" s="50"/>
      <c r="D115" s="183"/>
      <c r="E115" s="183"/>
      <c r="F115" s="184"/>
      <c r="G115" s="184"/>
      <c r="H115" s="186"/>
      <c r="I115" s="186"/>
      <c r="J115" s="186"/>
      <c r="K115" s="71"/>
      <c r="L115" s="71"/>
      <c r="M115" s="71"/>
      <c r="N115" s="71"/>
      <c r="O115" s="71"/>
      <c r="P115" s="76"/>
    </row>
    <row r="116" spans="1:37" ht="18" x14ac:dyDescent="0.3">
      <c r="A116" s="38"/>
      <c r="B116" s="77"/>
      <c r="C116" s="70" t="s">
        <v>254</v>
      </c>
      <c r="D116" s="51" t="s">
        <v>31</v>
      </c>
      <c r="E116" s="60">
        <f>Eingabetabelle!L58</f>
        <v>0</v>
      </c>
      <c r="F116" s="51" t="s">
        <v>71</v>
      </c>
      <c r="G116" s="390" t="s">
        <v>87</v>
      </c>
      <c r="H116" s="390"/>
      <c r="I116" s="390"/>
      <c r="J116" s="390"/>
      <c r="K116" s="390"/>
      <c r="L116" s="55"/>
      <c r="M116" s="71"/>
      <c r="N116" s="71"/>
      <c r="O116" s="71"/>
      <c r="P116" s="76"/>
    </row>
    <row r="117" spans="1:37" ht="15" x14ac:dyDescent="0.2">
      <c r="A117" s="38"/>
      <c r="B117" s="77"/>
      <c r="C117" s="51"/>
      <c r="D117" s="51"/>
      <c r="E117" s="51"/>
      <c r="F117" s="51"/>
      <c r="G117" s="51"/>
      <c r="H117" s="51"/>
      <c r="I117" s="51"/>
      <c r="J117" s="51"/>
      <c r="K117" s="51"/>
      <c r="L117" s="51"/>
      <c r="M117" s="51"/>
      <c r="N117" s="51"/>
      <c r="O117" s="51"/>
      <c r="P117" s="53"/>
    </row>
    <row r="118" spans="1:37" ht="18" x14ac:dyDescent="0.3">
      <c r="A118" s="38"/>
      <c r="B118" s="77"/>
      <c r="C118" s="70" t="s">
        <v>253</v>
      </c>
      <c r="D118" s="50" t="s">
        <v>31</v>
      </c>
      <c r="E118" s="50" t="s">
        <v>32</v>
      </c>
      <c r="F118" s="385">
        <f>M22</f>
        <v>0</v>
      </c>
      <c r="G118" s="385"/>
      <c r="H118" s="50" t="s">
        <v>33</v>
      </c>
      <c r="I118" s="50">
        <f>E30</f>
        <v>0</v>
      </c>
      <c r="J118" s="50" t="s">
        <v>34</v>
      </c>
      <c r="K118" s="80">
        <f>M62</f>
        <v>0</v>
      </c>
      <c r="L118" s="50" t="s">
        <v>35</v>
      </c>
      <c r="M118" s="50" t="s">
        <v>34</v>
      </c>
      <c r="N118" s="50">
        <f>E116</f>
        <v>0</v>
      </c>
      <c r="O118" s="71"/>
      <c r="P118" s="67"/>
    </row>
    <row r="119" spans="1:37" ht="15" x14ac:dyDescent="0.2">
      <c r="A119" s="38"/>
      <c r="B119" s="77"/>
      <c r="C119" s="51"/>
      <c r="D119" s="51"/>
      <c r="E119" s="51"/>
      <c r="F119" s="51"/>
      <c r="G119" s="51"/>
      <c r="H119" s="51"/>
      <c r="I119" s="51"/>
      <c r="J119" s="51"/>
      <c r="K119" s="51"/>
      <c r="L119" s="51"/>
      <c r="M119" s="51"/>
      <c r="N119" s="51"/>
      <c r="O119" s="51"/>
      <c r="P119" s="53"/>
    </row>
    <row r="120" spans="1:37" ht="18" x14ac:dyDescent="0.3">
      <c r="A120" s="38"/>
      <c r="B120" s="77"/>
      <c r="C120" s="70" t="s">
        <v>253</v>
      </c>
      <c r="D120" s="50" t="s">
        <v>31</v>
      </c>
      <c r="E120" s="388">
        <f>(F118+I118*K118)*N118</f>
        <v>0</v>
      </c>
      <c r="F120" s="388"/>
      <c r="G120" s="55" t="s">
        <v>255</v>
      </c>
      <c r="H120" s="70" t="s">
        <v>31</v>
      </c>
      <c r="I120" s="389">
        <f>E120/1000</f>
        <v>0</v>
      </c>
      <c r="J120" s="389"/>
      <c r="K120" s="60" t="s">
        <v>256</v>
      </c>
      <c r="L120" s="55"/>
      <c r="M120" s="55"/>
      <c r="N120" s="55"/>
      <c r="O120" s="55"/>
      <c r="P120" s="53"/>
    </row>
    <row r="121" spans="1:37" ht="15" x14ac:dyDescent="0.2">
      <c r="A121" s="38"/>
      <c r="B121" s="77"/>
      <c r="C121" s="51"/>
      <c r="D121" s="51"/>
      <c r="E121" s="51"/>
      <c r="F121" s="51"/>
      <c r="G121" s="51"/>
      <c r="H121" s="51"/>
      <c r="I121" s="51"/>
      <c r="J121" s="51"/>
      <c r="K121" s="51"/>
      <c r="L121" s="51"/>
      <c r="M121" s="51"/>
      <c r="N121" s="51"/>
      <c r="O121" s="51"/>
      <c r="P121" s="53"/>
    </row>
    <row r="122" spans="1:37" ht="15" x14ac:dyDescent="0.2">
      <c r="A122" s="38"/>
      <c r="B122" s="66"/>
      <c r="C122" s="51" t="s">
        <v>89</v>
      </c>
      <c r="D122" s="51"/>
      <c r="E122" s="51"/>
      <c r="F122" s="51"/>
      <c r="G122" s="387">
        <f>Eingabetabelle!O58</f>
        <v>2500</v>
      </c>
      <c r="H122" s="387"/>
      <c r="I122" s="51" t="s">
        <v>255</v>
      </c>
      <c r="J122" s="50" t="s">
        <v>31</v>
      </c>
      <c r="K122" s="60">
        <f>G122/1000</f>
        <v>2.5</v>
      </c>
      <c r="L122" s="60" t="s">
        <v>256</v>
      </c>
      <c r="M122" s="55" t="s">
        <v>547</v>
      </c>
      <c r="N122" s="55"/>
      <c r="O122" s="55"/>
      <c r="P122" s="67"/>
    </row>
    <row r="123" spans="1:37" ht="21" customHeight="1" x14ac:dyDescent="0.2">
      <c r="A123" s="38"/>
      <c r="B123" s="83"/>
      <c r="C123" s="62"/>
      <c r="D123" s="62"/>
      <c r="E123" s="62"/>
      <c r="F123" s="62"/>
      <c r="G123" s="62"/>
      <c r="H123" s="161" t="s">
        <v>548</v>
      </c>
      <c r="I123" s="62"/>
      <c r="J123" s="62"/>
      <c r="K123" s="237"/>
      <c r="L123" s="238"/>
      <c r="M123" s="238"/>
      <c r="N123" s="239"/>
      <c r="P123" s="240"/>
    </row>
    <row r="124" spans="1:37" ht="18" customHeight="1" x14ac:dyDescent="0.2">
      <c r="A124" s="38"/>
      <c r="B124" s="362" t="s">
        <v>272</v>
      </c>
      <c r="C124" s="363"/>
      <c r="D124" s="364"/>
      <c r="E124" s="350" t="str">
        <f>E1</f>
        <v/>
      </c>
      <c r="F124" s="351"/>
      <c r="G124" s="351"/>
      <c r="H124" s="351"/>
      <c r="I124" s="351"/>
      <c r="J124" s="351"/>
      <c r="K124" s="351"/>
      <c r="L124" s="351"/>
      <c r="M124" s="351"/>
      <c r="N124" s="352"/>
      <c r="O124" s="356"/>
      <c r="P124" s="357"/>
    </row>
    <row r="125" spans="1:37" ht="18" customHeight="1" x14ac:dyDescent="0.2">
      <c r="A125" s="38"/>
      <c r="B125" s="365"/>
      <c r="C125" s="366"/>
      <c r="D125" s="367"/>
      <c r="E125" s="353"/>
      <c r="F125" s="354"/>
      <c r="G125" s="354"/>
      <c r="H125" s="354"/>
      <c r="I125" s="354"/>
      <c r="J125" s="354"/>
      <c r="K125" s="354"/>
      <c r="L125" s="354"/>
      <c r="M125" s="354"/>
      <c r="N125" s="355"/>
      <c r="O125" s="358"/>
      <c r="P125" s="359"/>
    </row>
    <row r="126" spans="1:37" ht="15.75" customHeight="1" x14ac:dyDescent="0.25">
      <c r="A126"/>
      <c r="B126" s="49"/>
      <c r="C126" s="63"/>
      <c r="D126" s="64"/>
      <c r="E126" s="64"/>
      <c r="F126" s="64"/>
      <c r="G126" s="65"/>
      <c r="H126" s="65"/>
      <c r="I126" s="64"/>
      <c r="J126" s="64"/>
      <c r="K126" s="64"/>
      <c r="L126" s="64"/>
      <c r="M126" s="64"/>
      <c r="N126" s="64"/>
      <c r="O126" s="360"/>
      <c r="P126" s="361"/>
      <c r="Y126" s="348" t="s">
        <v>274</v>
      </c>
      <c r="Z126" s="348"/>
      <c r="AA126" s="348"/>
      <c r="AB126" s="348"/>
      <c r="AC126" s="95" t="s">
        <v>30</v>
      </c>
      <c r="AD126" s="39"/>
      <c r="AE126" s="45" t="s">
        <v>275</v>
      </c>
    </row>
    <row r="127" spans="1:37" ht="15.75" customHeight="1" x14ac:dyDescent="0.2">
      <c r="A127"/>
      <c r="B127" s="66"/>
      <c r="C127" s="55"/>
      <c r="D127" s="55"/>
      <c r="E127" s="55"/>
      <c r="F127" s="55"/>
      <c r="G127" s="55"/>
      <c r="H127" s="55"/>
      <c r="I127" s="55"/>
      <c r="J127" s="55"/>
      <c r="K127" s="55"/>
      <c r="L127" s="55"/>
      <c r="M127" s="55"/>
      <c r="N127" s="55"/>
      <c r="O127" s="55"/>
      <c r="P127" s="67"/>
      <c r="Y127" s="348" t="s">
        <v>276</v>
      </c>
      <c r="Z127" s="348"/>
      <c r="AA127" s="348"/>
      <c r="AB127" s="348"/>
      <c r="AC127" s="39">
        <v>4</v>
      </c>
      <c r="AD127" s="39">
        <v>0</v>
      </c>
      <c r="AE127" s="39">
        <f>AD127*1000</f>
        <v>0</v>
      </c>
    </row>
    <row r="128" spans="1:37" ht="24.75" customHeight="1" x14ac:dyDescent="0.25">
      <c r="A128" s="38"/>
      <c r="B128" s="49" t="s">
        <v>260</v>
      </c>
      <c r="C128" s="90" t="s">
        <v>54</v>
      </c>
      <c r="D128" s="64"/>
      <c r="E128" s="64"/>
      <c r="F128" s="64"/>
      <c r="G128" s="65"/>
      <c r="H128" s="65"/>
      <c r="I128" s="64"/>
      <c r="J128" s="64"/>
      <c r="K128" s="64"/>
      <c r="L128" s="64"/>
      <c r="M128" s="64"/>
      <c r="N128" s="64"/>
      <c r="O128" s="64"/>
      <c r="P128" s="67"/>
      <c r="Y128" s="349" t="s">
        <v>278</v>
      </c>
      <c r="Z128" s="349"/>
      <c r="AA128" s="349"/>
      <c r="AB128" s="349"/>
      <c r="AC128" s="99">
        <v>4</v>
      </c>
      <c r="AD128" s="100">
        <v>0.6</v>
      </c>
      <c r="AE128" s="99">
        <f t="shared" ref="AE128:AE191" si="2">AD128*1000</f>
        <v>600</v>
      </c>
      <c r="AF128" s="4">
        <f>AC128*1000000</f>
        <v>4000000</v>
      </c>
      <c r="AG128" s="4">
        <f>AE128+AF128</f>
        <v>4000600</v>
      </c>
      <c r="AH128" s="96">
        <f>AG128-$R$149</f>
        <v>3998100</v>
      </c>
      <c r="AI128" s="102">
        <f>IF(AH128&gt;-1,AH128,15000)</f>
        <v>3998100</v>
      </c>
      <c r="AJ128" s="4">
        <f>IF(AI128=$AI$274,1,0)</f>
        <v>1</v>
      </c>
      <c r="AK128" s="4">
        <f>IF(AJ128=1,AD128,0)</f>
        <v>0.6</v>
      </c>
    </row>
    <row r="129" spans="1:37" ht="24.75" customHeight="1" x14ac:dyDescent="0.2">
      <c r="A129" s="38"/>
      <c r="B129" s="66"/>
      <c r="C129" s="55"/>
      <c r="D129" s="55"/>
      <c r="E129" s="55"/>
      <c r="F129" s="55"/>
      <c r="G129" s="55"/>
      <c r="H129" s="55"/>
      <c r="I129" s="55"/>
      <c r="J129" s="55"/>
      <c r="K129" s="55"/>
      <c r="L129" s="55"/>
      <c r="M129" s="55"/>
      <c r="N129" s="55"/>
      <c r="O129" s="55"/>
      <c r="P129" s="67"/>
      <c r="Y129" s="349" t="s">
        <v>277</v>
      </c>
      <c r="Z129" s="349"/>
      <c r="AA129" s="349"/>
      <c r="AB129" s="349"/>
      <c r="AC129" s="99">
        <v>4</v>
      </c>
      <c r="AD129" s="100">
        <v>0.9</v>
      </c>
      <c r="AE129" s="99">
        <f t="shared" si="2"/>
        <v>900</v>
      </c>
      <c r="AF129" s="4">
        <f t="shared" ref="AF129:AF177" si="3">AC129*1000000</f>
        <v>4000000</v>
      </c>
      <c r="AG129" s="4">
        <f t="shared" ref="AG129:AG177" si="4">AE129+AF129</f>
        <v>4000900</v>
      </c>
      <c r="AH129" s="96">
        <f t="shared" ref="AH129:AH192" si="5">AG129-$R$149</f>
        <v>3998400</v>
      </c>
      <c r="AI129" s="102">
        <f t="shared" ref="AI129:AI192" si="6">IF(AH129&gt;-1,AH129,15000)</f>
        <v>3998400</v>
      </c>
      <c r="AJ129" s="4">
        <f t="shared" ref="AJ129:AJ192" si="7">IF(AI129=$AI$274,1,0)</f>
        <v>0</v>
      </c>
      <c r="AK129" s="4">
        <f t="shared" ref="AK129:AK177" si="8">IF(AJ129=1,AD129,0)</f>
        <v>0</v>
      </c>
    </row>
    <row r="130" spans="1:37" ht="15" x14ac:dyDescent="0.2">
      <c r="A130" s="39"/>
      <c r="B130" s="49"/>
      <c r="C130" s="43" t="s">
        <v>55</v>
      </c>
      <c r="D130" s="43"/>
      <c r="E130" s="43"/>
      <c r="F130" s="43"/>
      <c r="G130" s="43"/>
      <c r="H130" s="43"/>
      <c r="I130" s="43"/>
      <c r="J130" s="43"/>
      <c r="K130" s="43"/>
      <c r="L130" s="43"/>
      <c r="M130" s="43"/>
      <c r="N130" s="43"/>
      <c r="O130" s="43"/>
      <c r="P130" s="67"/>
      <c r="Y130" s="349" t="s">
        <v>279</v>
      </c>
      <c r="Z130" s="349"/>
      <c r="AA130" s="349"/>
      <c r="AB130" s="349"/>
      <c r="AC130" s="99">
        <v>4</v>
      </c>
      <c r="AD130" s="100">
        <v>1.4</v>
      </c>
      <c r="AE130" s="99">
        <f t="shared" si="2"/>
        <v>1400</v>
      </c>
      <c r="AF130" s="4">
        <f t="shared" si="3"/>
        <v>4000000</v>
      </c>
      <c r="AG130" s="4">
        <f t="shared" si="4"/>
        <v>4001400</v>
      </c>
      <c r="AH130" s="96">
        <f t="shared" si="5"/>
        <v>3998900</v>
      </c>
      <c r="AI130" s="102">
        <f t="shared" si="6"/>
        <v>3998900</v>
      </c>
      <c r="AJ130" s="4">
        <f t="shared" si="7"/>
        <v>0</v>
      </c>
      <c r="AK130" s="4">
        <f t="shared" si="8"/>
        <v>0</v>
      </c>
    </row>
    <row r="131" spans="1:37" ht="15" x14ac:dyDescent="0.2">
      <c r="A131" s="39"/>
      <c r="B131" s="49"/>
      <c r="C131" s="101" t="s">
        <v>317</v>
      </c>
      <c r="D131" s="101"/>
      <c r="E131" s="101"/>
      <c r="F131" s="101"/>
      <c r="G131" s="101"/>
      <c r="H131" s="101"/>
      <c r="I131" s="101"/>
      <c r="J131" s="101"/>
      <c r="K131" s="101"/>
      <c r="L131" s="101"/>
      <c r="M131" s="101"/>
      <c r="N131" s="101"/>
      <c r="O131" s="101"/>
      <c r="P131" s="67"/>
      <c r="Y131" s="348" t="s">
        <v>280</v>
      </c>
      <c r="Z131" s="348"/>
      <c r="AA131" s="348"/>
      <c r="AB131" s="348"/>
      <c r="AC131" s="39">
        <v>4</v>
      </c>
      <c r="AD131" s="4">
        <v>1.8</v>
      </c>
      <c r="AE131" s="39">
        <f t="shared" si="2"/>
        <v>1800</v>
      </c>
      <c r="AF131" s="4">
        <f t="shared" si="3"/>
        <v>4000000</v>
      </c>
      <c r="AG131" s="4">
        <f t="shared" si="4"/>
        <v>4001800</v>
      </c>
      <c r="AH131" s="96">
        <f t="shared" si="5"/>
        <v>3999300</v>
      </c>
      <c r="AI131" s="102">
        <f t="shared" si="6"/>
        <v>3999300</v>
      </c>
      <c r="AJ131" s="4">
        <f t="shared" si="7"/>
        <v>0</v>
      </c>
      <c r="AK131" s="4">
        <f t="shared" si="8"/>
        <v>0</v>
      </c>
    </row>
    <row r="132" spans="1:37" ht="15" x14ac:dyDescent="0.2">
      <c r="A132" s="39"/>
      <c r="B132" s="49"/>
      <c r="C132" s="43"/>
      <c r="D132" s="43"/>
      <c r="E132" s="43"/>
      <c r="F132" s="43"/>
      <c r="G132" s="43"/>
      <c r="H132" s="43"/>
      <c r="I132" s="43"/>
      <c r="J132" s="43"/>
      <c r="K132" s="43"/>
      <c r="L132" s="43"/>
      <c r="M132" s="43"/>
      <c r="N132" s="43"/>
      <c r="O132" s="43"/>
      <c r="P132" s="67"/>
      <c r="Y132" s="348" t="s">
        <v>281</v>
      </c>
      <c r="Z132" s="348"/>
      <c r="AA132" s="348"/>
      <c r="AB132" s="348"/>
      <c r="AC132" s="39">
        <v>4</v>
      </c>
      <c r="AD132" s="4">
        <v>2.5</v>
      </c>
      <c r="AE132" s="39">
        <f t="shared" si="2"/>
        <v>2500</v>
      </c>
      <c r="AF132" s="4">
        <f t="shared" si="3"/>
        <v>4000000</v>
      </c>
      <c r="AG132" s="4">
        <f t="shared" si="4"/>
        <v>4002500</v>
      </c>
      <c r="AH132" s="96">
        <f t="shared" si="5"/>
        <v>4000000</v>
      </c>
      <c r="AI132" s="102">
        <f t="shared" si="6"/>
        <v>4000000</v>
      </c>
      <c r="AJ132" s="4">
        <f t="shared" si="7"/>
        <v>0</v>
      </c>
      <c r="AK132" s="4">
        <f t="shared" si="8"/>
        <v>0</v>
      </c>
    </row>
    <row r="133" spans="1:37" x14ac:dyDescent="0.2">
      <c r="A133" s="39"/>
      <c r="B133" s="66"/>
      <c r="C133" s="55"/>
      <c r="D133" s="55"/>
      <c r="E133" s="55"/>
      <c r="F133" s="55"/>
      <c r="G133" s="55"/>
      <c r="H133" s="55"/>
      <c r="I133" s="55"/>
      <c r="J133" s="55"/>
      <c r="K133" s="55"/>
      <c r="L133" s="55"/>
      <c r="M133" s="40"/>
      <c r="N133" s="40"/>
      <c r="O133" s="55"/>
      <c r="P133" s="67"/>
      <c r="Y133" s="348" t="s">
        <v>282</v>
      </c>
      <c r="Z133" s="348"/>
      <c r="AA133" s="348"/>
      <c r="AB133" s="348"/>
      <c r="AC133" s="39">
        <v>4</v>
      </c>
      <c r="AD133" s="4">
        <v>2.6</v>
      </c>
      <c r="AE133" s="39">
        <f t="shared" si="2"/>
        <v>2600</v>
      </c>
      <c r="AF133" s="4">
        <f t="shared" si="3"/>
        <v>4000000</v>
      </c>
      <c r="AG133" s="4">
        <f t="shared" si="4"/>
        <v>4002600</v>
      </c>
      <c r="AH133" s="96">
        <f t="shared" si="5"/>
        <v>4000100</v>
      </c>
      <c r="AI133" s="102">
        <f t="shared" si="6"/>
        <v>4000100</v>
      </c>
      <c r="AJ133" s="4">
        <f t="shared" si="7"/>
        <v>0</v>
      </c>
      <c r="AK133" s="4">
        <f t="shared" si="8"/>
        <v>0</v>
      </c>
    </row>
    <row r="134" spans="1:37" ht="18" x14ac:dyDescent="0.3">
      <c r="A134" s="39"/>
      <c r="B134" s="69"/>
      <c r="C134" s="70" t="s">
        <v>30</v>
      </c>
      <c r="D134" s="50" t="s">
        <v>31</v>
      </c>
      <c r="E134" s="50" t="s">
        <v>32</v>
      </c>
      <c r="F134" s="50" t="s">
        <v>104</v>
      </c>
      <c r="G134" s="50" t="s">
        <v>33</v>
      </c>
      <c r="H134" s="50" t="s">
        <v>102</v>
      </c>
      <c r="I134" s="50" t="s">
        <v>34</v>
      </c>
      <c r="J134" s="50" t="s">
        <v>103</v>
      </c>
      <c r="K134" s="50" t="s">
        <v>35</v>
      </c>
      <c r="L134" s="50" t="s">
        <v>34</v>
      </c>
      <c r="M134" s="50" t="s">
        <v>105</v>
      </c>
      <c r="N134" s="184" t="s">
        <v>34</v>
      </c>
      <c r="O134" s="182" t="s">
        <v>491</v>
      </c>
      <c r="P134" s="67"/>
      <c r="Y134" s="349" t="s">
        <v>283</v>
      </c>
      <c r="Z134" s="349"/>
      <c r="AA134" s="349"/>
      <c r="AB134" s="349"/>
      <c r="AC134" s="99">
        <v>4</v>
      </c>
      <c r="AD134" s="100">
        <v>3.2</v>
      </c>
      <c r="AE134" s="99">
        <f t="shared" si="2"/>
        <v>3200</v>
      </c>
      <c r="AF134" s="4">
        <f t="shared" si="3"/>
        <v>4000000</v>
      </c>
      <c r="AG134" s="4">
        <f t="shared" si="4"/>
        <v>4003200</v>
      </c>
      <c r="AH134" s="96">
        <f t="shared" si="5"/>
        <v>4000700</v>
      </c>
      <c r="AI134" s="102">
        <f t="shared" si="6"/>
        <v>4000700</v>
      </c>
      <c r="AJ134" s="4">
        <f t="shared" si="7"/>
        <v>0</v>
      </c>
      <c r="AK134" s="4">
        <f t="shared" si="8"/>
        <v>0</v>
      </c>
    </row>
    <row r="135" spans="1:37" ht="15" x14ac:dyDescent="0.2">
      <c r="A135" s="39"/>
      <c r="B135" s="77"/>
      <c r="C135" s="50"/>
      <c r="D135" s="50"/>
      <c r="E135" s="50"/>
      <c r="F135" s="50"/>
      <c r="G135" s="50"/>
      <c r="H135" s="50"/>
      <c r="I135" s="50"/>
      <c r="J135" s="50"/>
      <c r="K135" s="50"/>
      <c r="L135" s="50"/>
      <c r="M135" s="50"/>
      <c r="N135" s="50"/>
      <c r="O135" s="91"/>
      <c r="P135" s="67"/>
      <c r="Y135" s="349" t="s">
        <v>284</v>
      </c>
      <c r="Z135" s="349"/>
      <c r="AA135" s="349"/>
      <c r="AB135" s="349"/>
      <c r="AC135" s="99">
        <v>4</v>
      </c>
      <c r="AD135" s="100">
        <v>5</v>
      </c>
      <c r="AE135" s="99">
        <f t="shared" si="2"/>
        <v>5000</v>
      </c>
      <c r="AF135" s="4">
        <f t="shared" si="3"/>
        <v>4000000</v>
      </c>
      <c r="AG135" s="4">
        <f t="shared" si="4"/>
        <v>4005000</v>
      </c>
      <c r="AH135" s="96">
        <f t="shared" si="5"/>
        <v>4002500</v>
      </c>
      <c r="AI135" s="102">
        <f t="shared" si="6"/>
        <v>4002500</v>
      </c>
      <c r="AJ135" s="4">
        <f t="shared" si="7"/>
        <v>0</v>
      </c>
      <c r="AK135" s="4">
        <f t="shared" si="8"/>
        <v>0</v>
      </c>
    </row>
    <row r="136" spans="1:37" ht="15" x14ac:dyDescent="0.2">
      <c r="A136" s="39"/>
      <c r="B136" s="77"/>
      <c r="C136" s="70" t="s">
        <v>30</v>
      </c>
      <c r="D136" s="50" t="s">
        <v>31</v>
      </c>
      <c r="E136" s="50" t="s">
        <v>32</v>
      </c>
      <c r="F136" s="80">
        <f>Bemessung!M22</f>
        <v>0</v>
      </c>
      <c r="G136" s="50" t="s">
        <v>33</v>
      </c>
      <c r="H136" s="50">
        <f>Bemessung!E30</f>
        <v>0</v>
      </c>
      <c r="I136" s="50" t="s">
        <v>34</v>
      </c>
      <c r="J136" s="80">
        <f>Bemessung!M62</f>
        <v>0</v>
      </c>
      <c r="K136" s="50" t="s">
        <v>35</v>
      </c>
      <c r="L136" s="50" t="s">
        <v>34</v>
      </c>
      <c r="M136" s="50">
        <f>IF(Bemessung!E66&lt;0.85,1,1)</f>
        <v>1</v>
      </c>
      <c r="N136" s="4" t="s">
        <v>34</v>
      </c>
      <c r="O136" s="208">
        <f>E78</f>
        <v>1</v>
      </c>
      <c r="P136" s="67"/>
      <c r="Y136" s="348" t="s">
        <v>285</v>
      </c>
      <c r="Z136" s="348"/>
      <c r="AA136" s="348"/>
      <c r="AB136" s="348"/>
      <c r="AC136" s="39">
        <v>4</v>
      </c>
      <c r="AD136" s="4">
        <v>5.0999999999999996</v>
      </c>
      <c r="AE136" s="39">
        <f t="shared" si="2"/>
        <v>5100</v>
      </c>
      <c r="AF136" s="4">
        <f t="shared" si="3"/>
        <v>4000000</v>
      </c>
      <c r="AG136" s="4">
        <f t="shared" si="4"/>
        <v>4005100</v>
      </c>
      <c r="AH136" s="96">
        <f t="shared" si="5"/>
        <v>4002600</v>
      </c>
      <c r="AI136" s="102">
        <f t="shared" si="6"/>
        <v>4002600</v>
      </c>
      <c r="AJ136" s="4">
        <f t="shared" si="7"/>
        <v>0</v>
      </c>
      <c r="AK136" s="4">
        <f t="shared" si="8"/>
        <v>0</v>
      </c>
    </row>
    <row r="137" spans="1:37" ht="15" x14ac:dyDescent="0.2">
      <c r="A137" s="39"/>
      <c r="B137" s="77"/>
      <c r="C137" s="51"/>
      <c r="D137" s="51"/>
      <c r="E137" s="51"/>
      <c r="F137" s="51"/>
      <c r="G137" s="51"/>
      <c r="H137" s="51"/>
      <c r="I137" s="51"/>
      <c r="J137" s="51"/>
      <c r="K137" s="51"/>
      <c r="L137" s="51"/>
      <c r="M137" s="51"/>
      <c r="P137" s="67"/>
      <c r="Q137" s="98" t="s">
        <v>314</v>
      </c>
      <c r="R137" s="98" t="s">
        <v>313</v>
      </c>
      <c r="S137" s="98" t="s">
        <v>315</v>
      </c>
      <c r="T137" s="98"/>
      <c r="U137" s="98"/>
      <c r="V137" s="98"/>
      <c r="W137" s="98"/>
      <c r="X137" s="98"/>
      <c r="Y137" s="348" t="s">
        <v>286</v>
      </c>
      <c r="Z137" s="348"/>
      <c r="AA137" s="348"/>
      <c r="AB137" s="348"/>
      <c r="AC137" s="39">
        <v>4</v>
      </c>
      <c r="AD137" s="4">
        <v>7.4</v>
      </c>
      <c r="AE137" s="39">
        <f t="shared" si="2"/>
        <v>7400</v>
      </c>
      <c r="AF137" s="4">
        <f t="shared" si="3"/>
        <v>4000000</v>
      </c>
      <c r="AG137" s="4">
        <f t="shared" si="4"/>
        <v>4007400</v>
      </c>
      <c r="AH137" s="96">
        <f t="shared" si="5"/>
        <v>4004900</v>
      </c>
      <c r="AI137" s="102">
        <f t="shared" si="6"/>
        <v>4004900</v>
      </c>
      <c r="AJ137" s="4">
        <f t="shared" si="7"/>
        <v>0</v>
      </c>
      <c r="AK137" s="4">
        <f t="shared" si="8"/>
        <v>0</v>
      </c>
    </row>
    <row r="138" spans="1:37" ht="15" x14ac:dyDescent="0.2">
      <c r="A138" s="39"/>
      <c r="B138" s="77"/>
      <c r="C138" s="70" t="s">
        <v>30</v>
      </c>
      <c r="D138" s="50" t="s">
        <v>31</v>
      </c>
      <c r="E138" s="91">
        <f>(F136+H136*J136)*M136*O136</f>
        <v>0</v>
      </c>
      <c r="F138" s="236" t="s">
        <v>26</v>
      </c>
      <c r="G138" s="104"/>
      <c r="H138" s="104"/>
      <c r="I138" s="104"/>
      <c r="J138" s="104"/>
      <c r="K138" s="104"/>
      <c r="L138" s="104"/>
      <c r="M138" s="104"/>
      <c r="N138" s="104"/>
      <c r="O138" s="104"/>
      <c r="P138" s="67"/>
      <c r="Q138" s="4">
        <f>IF(E138&gt;0.01,4,0)</f>
        <v>0</v>
      </c>
      <c r="R138" s="4">
        <f>IF(E138&gt;4.01,8,0)</f>
        <v>0</v>
      </c>
      <c r="S138" s="4">
        <f>IF(E138&gt;8.01,12,0)</f>
        <v>0</v>
      </c>
      <c r="Y138" s="348" t="s">
        <v>287</v>
      </c>
      <c r="Z138" s="348"/>
      <c r="AA138" s="348"/>
      <c r="AB138" s="348"/>
      <c r="AC138" s="39">
        <v>4</v>
      </c>
      <c r="AD138" s="4">
        <v>9.8000000000000007</v>
      </c>
      <c r="AE138" s="39">
        <f t="shared" si="2"/>
        <v>9800</v>
      </c>
      <c r="AF138" s="4">
        <f t="shared" si="3"/>
        <v>4000000</v>
      </c>
      <c r="AG138" s="4">
        <f t="shared" si="4"/>
        <v>4009800</v>
      </c>
      <c r="AH138" s="96">
        <f t="shared" si="5"/>
        <v>4007300</v>
      </c>
      <c r="AI138" s="102">
        <f t="shared" si="6"/>
        <v>4007300</v>
      </c>
      <c r="AJ138" s="4">
        <f t="shared" si="7"/>
        <v>0</v>
      </c>
      <c r="AK138" s="4">
        <f t="shared" si="8"/>
        <v>0</v>
      </c>
    </row>
    <row r="139" spans="1:37" ht="15" x14ac:dyDescent="0.2">
      <c r="A139" s="39"/>
      <c r="B139" s="77"/>
      <c r="C139" s="104"/>
      <c r="D139" s="104"/>
      <c r="E139" s="104"/>
      <c r="F139" s="104"/>
      <c r="G139" s="104"/>
      <c r="H139" s="104"/>
      <c r="I139" s="104"/>
      <c r="J139" s="104"/>
      <c r="K139" s="104"/>
      <c r="L139" s="104"/>
      <c r="M139" s="104"/>
      <c r="N139" s="104"/>
      <c r="O139" s="104"/>
      <c r="P139" s="67"/>
      <c r="Q139" s="4">
        <f>IF(E138&gt;4.01,-4,0)</f>
        <v>0</v>
      </c>
      <c r="R139" s="4">
        <f>IF(E138&gt;8.01,-8,0)</f>
        <v>0</v>
      </c>
      <c r="S139" s="4">
        <f>IF(E138&gt;12.01,-12,0)</f>
        <v>0</v>
      </c>
      <c r="Y139" s="348" t="s">
        <v>289</v>
      </c>
      <c r="Z139" s="348"/>
      <c r="AA139" s="348"/>
      <c r="AB139" s="348"/>
      <c r="AC139" s="4">
        <v>8</v>
      </c>
      <c r="AD139" s="4">
        <v>0</v>
      </c>
      <c r="AE139" s="39">
        <f t="shared" si="2"/>
        <v>0</v>
      </c>
      <c r="AF139" s="4">
        <f t="shared" si="3"/>
        <v>8000000</v>
      </c>
      <c r="AG139" s="4">
        <f t="shared" si="4"/>
        <v>8000000</v>
      </c>
      <c r="AH139" s="96">
        <f t="shared" si="5"/>
        <v>7997500</v>
      </c>
      <c r="AI139" s="102">
        <f t="shared" si="6"/>
        <v>7997500</v>
      </c>
      <c r="AJ139" s="4">
        <f t="shared" si="7"/>
        <v>0</v>
      </c>
      <c r="AK139" s="4">
        <f t="shared" si="8"/>
        <v>0</v>
      </c>
    </row>
    <row r="140" spans="1:37" ht="15" x14ac:dyDescent="0.2">
      <c r="A140" s="39"/>
      <c r="B140" s="49" t="s">
        <v>261</v>
      </c>
      <c r="C140" s="43" t="s">
        <v>88</v>
      </c>
      <c r="D140" s="43"/>
      <c r="E140" s="43"/>
      <c r="F140" s="43"/>
      <c r="G140" s="43"/>
      <c r="H140" s="43"/>
      <c r="I140" s="43"/>
      <c r="J140" s="43"/>
      <c r="K140" s="43"/>
      <c r="L140" s="43"/>
      <c r="M140" s="43"/>
      <c r="N140" s="43"/>
      <c r="O140" s="43"/>
      <c r="P140" s="67"/>
      <c r="Q140" s="4">
        <f>SUM(Q138:Q139)</f>
        <v>0</v>
      </c>
      <c r="R140" s="96">
        <f>SUM(R138:R139)</f>
        <v>0</v>
      </c>
      <c r="S140" s="96">
        <f>SUM(S138:S139)</f>
        <v>0</v>
      </c>
      <c r="T140" s="96"/>
      <c r="U140" s="96"/>
      <c r="V140" s="96"/>
      <c r="W140" s="96"/>
      <c r="X140" s="96"/>
      <c r="Y140" s="348" t="s">
        <v>288</v>
      </c>
      <c r="Z140" s="348"/>
      <c r="AA140" s="348"/>
      <c r="AB140" s="348"/>
      <c r="AC140" s="4">
        <v>8</v>
      </c>
      <c r="AD140" s="4">
        <v>0.5</v>
      </c>
      <c r="AE140" s="39">
        <f t="shared" si="2"/>
        <v>500</v>
      </c>
      <c r="AF140" s="4">
        <f t="shared" si="3"/>
        <v>8000000</v>
      </c>
      <c r="AG140" s="4">
        <f t="shared" si="4"/>
        <v>8000500</v>
      </c>
      <c r="AH140" s="96">
        <f t="shared" si="5"/>
        <v>7998000</v>
      </c>
      <c r="AI140" s="102">
        <f t="shared" si="6"/>
        <v>7998000</v>
      </c>
      <c r="AJ140" s="4">
        <f t="shared" si="7"/>
        <v>0</v>
      </c>
      <c r="AK140" s="4">
        <f t="shared" si="8"/>
        <v>0</v>
      </c>
    </row>
    <row r="141" spans="1:37" ht="15" x14ac:dyDescent="0.2">
      <c r="A141" s="39"/>
      <c r="B141" s="49"/>
      <c r="C141" s="101"/>
      <c r="D141" s="101"/>
      <c r="E141" s="101"/>
      <c r="F141" s="101"/>
      <c r="G141" s="101"/>
      <c r="H141" s="101"/>
      <c r="I141" s="101"/>
      <c r="J141" s="101"/>
      <c r="K141" s="101"/>
      <c r="L141" s="101"/>
      <c r="M141" s="101"/>
      <c r="N141" s="101"/>
      <c r="O141" s="101"/>
      <c r="P141" s="67"/>
      <c r="R141" s="97"/>
      <c r="Y141" s="349" t="s">
        <v>290</v>
      </c>
      <c r="Z141" s="349"/>
      <c r="AA141" s="349"/>
      <c r="AB141" s="349"/>
      <c r="AC141" s="100">
        <v>8</v>
      </c>
      <c r="AD141" s="100">
        <v>1</v>
      </c>
      <c r="AE141" s="99">
        <f t="shared" si="2"/>
        <v>1000</v>
      </c>
      <c r="AF141" s="4">
        <f t="shared" si="3"/>
        <v>8000000</v>
      </c>
      <c r="AG141" s="4">
        <f t="shared" si="4"/>
        <v>8001000</v>
      </c>
      <c r="AH141" s="96">
        <f t="shared" si="5"/>
        <v>7998500</v>
      </c>
      <c r="AI141" s="102">
        <f t="shared" si="6"/>
        <v>7998500</v>
      </c>
      <c r="AJ141" s="4">
        <f t="shared" si="7"/>
        <v>0</v>
      </c>
      <c r="AK141" s="4">
        <f t="shared" si="8"/>
        <v>0</v>
      </c>
    </row>
    <row r="142" spans="1:37" ht="15" x14ac:dyDescent="0.2">
      <c r="A142" s="39"/>
      <c r="B142" s="77"/>
      <c r="C142" s="51"/>
      <c r="D142" s="51"/>
      <c r="E142" s="51"/>
      <c r="F142" s="51"/>
      <c r="G142" s="51"/>
      <c r="H142" s="51"/>
      <c r="I142" s="51"/>
      <c r="J142" s="51"/>
      <c r="K142" s="51"/>
      <c r="L142" s="51"/>
      <c r="M142" s="51"/>
      <c r="N142" s="51"/>
      <c r="O142" s="51"/>
      <c r="P142" s="67"/>
      <c r="Q142" s="4">
        <f>IF(E138&gt;12.01,16,0)</f>
        <v>0</v>
      </c>
      <c r="R142" s="4">
        <f>IF(E138&gt;16.01,20,0)</f>
        <v>0</v>
      </c>
      <c r="S142" s="4">
        <f>IF(E138&gt;20.01,30,0)</f>
        <v>0</v>
      </c>
      <c r="T142" s="4">
        <f>IF(E138&gt;30.01,40,0)</f>
        <v>0</v>
      </c>
      <c r="U142" s="4">
        <f>IF(E138&gt;40.01,50,0)</f>
        <v>0</v>
      </c>
      <c r="V142" s="4">
        <f>IF(E138&gt;50.01,65,0)</f>
        <v>0</v>
      </c>
      <c r="W142" s="4">
        <f>IF(E138&gt;65.01,80,0)</f>
        <v>0</v>
      </c>
      <c r="X142" s="4">
        <f>IF(E138&gt;80.01,100,0)</f>
        <v>0</v>
      </c>
      <c r="Y142" s="349" t="s">
        <v>291</v>
      </c>
      <c r="Z142" s="349"/>
      <c r="AA142" s="349"/>
      <c r="AB142" s="349"/>
      <c r="AC142" s="100">
        <v>8</v>
      </c>
      <c r="AD142" s="100">
        <v>1.4</v>
      </c>
      <c r="AE142" s="99">
        <f t="shared" si="2"/>
        <v>1400</v>
      </c>
      <c r="AF142" s="4">
        <f t="shared" si="3"/>
        <v>8000000</v>
      </c>
      <c r="AG142" s="4">
        <f t="shared" si="4"/>
        <v>8001400</v>
      </c>
      <c r="AH142" s="96">
        <f t="shared" si="5"/>
        <v>7998900</v>
      </c>
      <c r="AI142" s="102">
        <f t="shared" si="6"/>
        <v>7998900</v>
      </c>
      <c r="AJ142" s="4">
        <f t="shared" si="7"/>
        <v>0</v>
      </c>
      <c r="AK142" s="4">
        <f t="shared" si="8"/>
        <v>0</v>
      </c>
    </row>
    <row r="143" spans="1:37" ht="18" x14ac:dyDescent="0.3">
      <c r="A143" s="39"/>
      <c r="B143" s="77"/>
      <c r="C143" s="70" t="s">
        <v>253</v>
      </c>
      <c r="D143" s="50" t="s">
        <v>31</v>
      </c>
      <c r="E143" s="50" t="s">
        <v>32</v>
      </c>
      <c r="F143" s="50" t="s">
        <v>104</v>
      </c>
      <c r="G143" s="50" t="s">
        <v>33</v>
      </c>
      <c r="H143" s="50" t="s">
        <v>102</v>
      </c>
      <c r="I143" s="50" t="s">
        <v>34</v>
      </c>
      <c r="J143" s="50" t="s">
        <v>103</v>
      </c>
      <c r="K143" s="50" t="s">
        <v>35</v>
      </c>
      <c r="L143" s="50" t="s">
        <v>34</v>
      </c>
      <c r="M143" s="70" t="s">
        <v>254</v>
      </c>
      <c r="N143" s="51"/>
      <c r="O143" s="51"/>
      <c r="P143" s="67"/>
      <c r="Q143" s="4">
        <f>IF(E138&gt;16.01,-16,0)</f>
        <v>0</v>
      </c>
      <c r="R143" s="4">
        <f>IF(E138&gt;20.01,-20,0)</f>
        <v>0</v>
      </c>
      <c r="S143" s="4">
        <f>IF(E138&gt;30.01,-30,0)</f>
        <v>0</v>
      </c>
      <c r="T143" s="4">
        <f>IF(E138&gt;40.01,-40,0)</f>
        <v>0</v>
      </c>
      <c r="U143" s="4">
        <f>IF(E138&gt;50.01,-50,0)</f>
        <v>0</v>
      </c>
      <c r="V143" s="4">
        <f>IF(E138&gt;65.01,-65,0)</f>
        <v>0</v>
      </c>
      <c r="W143" s="4">
        <f>IF(E138&gt;80.01,-80,0)</f>
        <v>0</v>
      </c>
      <c r="X143" s="4">
        <f>IF(E138&gt;100.01,-100,0)</f>
        <v>0</v>
      </c>
      <c r="Y143" s="349" t="s">
        <v>292</v>
      </c>
      <c r="Z143" s="349"/>
      <c r="AA143" s="349"/>
      <c r="AB143" s="349"/>
      <c r="AC143" s="100">
        <v>8</v>
      </c>
      <c r="AD143" s="100">
        <v>1.8</v>
      </c>
      <c r="AE143" s="99">
        <f t="shared" si="2"/>
        <v>1800</v>
      </c>
      <c r="AF143" s="4">
        <f t="shared" si="3"/>
        <v>8000000</v>
      </c>
      <c r="AG143" s="4">
        <f t="shared" si="4"/>
        <v>8001800</v>
      </c>
      <c r="AH143" s="96">
        <f t="shared" si="5"/>
        <v>7999300</v>
      </c>
      <c r="AI143" s="102">
        <f t="shared" si="6"/>
        <v>7999300</v>
      </c>
      <c r="AJ143" s="4">
        <f t="shared" si="7"/>
        <v>0</v>
      </c>
      <c r="AK143" s="4">
        <f t="shared" si="8"/>
        <v>0</v>
      </c>
    </row>
    <row r="144" spans="1:37" ht="15" x14ac:dyDescent="0.2">
      <c r="A144" s="39"/>
      <c r="B144" s="77"/>
      <c r="C144" s="51"/>
      <c r="D144" s="51"/>
      <c r="E144" s="51"/>
      <c r="F144" s="51"/>
      <c r="G144" s="51"/>
      <c r="H144" s="51"/>
      <c r="I144" s="51"/>
      <c r="J144" s="51"/>
      <c r="K144" s="51"/>
      <c r="L144" s="51"/>
      <c r="M144" s="51"/>
      <c r="N144" s="51"/>
      <c r="O144" s="51"/>
      <c r="P144" s="67"/>
      <c r="Q144" s="96">
        <f t="shared" ref="Q144:V144" si="9">SUM(Q142:Q143)</f>
        <v>0</v>
      </c>
      <c r="R144" s="96">
        <f t="shared" si="9"/>
        <v>0</v>
      </c>
      <c r="S144" s="96">
        <f t="shared" si="9"/>
        <v>0</v>
      </c>
      <c r="T144" s="96">
        <f t="shared" si="9"/>
        <v>0</v>
      </c>
      <c r="U144" s="96">
        <f t="shared" si="9"/>
        <v>0</v>
      </c>
      <c r="V144" s="96">
        <f t="shared" si="9"/>
        <v>0</v>
      </c>
      <c r="W144" s="96">
        <f>SUM(W142:W143)</f>
        <v>0</v>
      </c>
      <c r="X144" s="96">
        <f>SUM(X142:X143)</f>
        <v>0</v>
      </c>
      <c r="Y144" s="348" t="s">
        <v>293</v>
      </c>
      <c r="Z144" s="348"/>
      <c r="AA144" s="348"/>
      <c r="AB144" s="348"/>
      <c r="AC144" s="4">
        <v>8</v>
      </c>
      <c r="AD144" s="4">
        <v>2.5</v>
      </c>
      <c r="AE144" s="39">
        <f t="shared" si="2"/>
        <v>2500</v>
      </c>
      <c r="AF144" s="4">
        <f t="shared" si="3"/>
        <v>8000000</v>
      </c>
      <c r="AG144" s="4">
        <f t="shared" si="4"/>
        <v>8002500</v>
      </c>
      <c r="AH144" s="96">
        <f t="shared" si="5"/>
        <v>8000000</v>
      </c>
      <c r="AI144" s="102">
        <f t="shared" si="6"/>
        <v>8000000</v>
      </c>
      <c r="AJ144" s="4">
        <f t="shared" si="7"/>
        <v>0</v>
      </c>
      <c r="AK144" s="4">
        <f t="shared" si="8"/>
        <v>0</v>
      </c>
    </row>
    <row r="145" spans="1:40" ht="18" x14ac:dyDescent="0.3">
      <c r="A145" s="39"/>
      <c r="B145" s="77"/>
      <c r="C145" s="70" t="s">
        <v>253</v>
      </c>
      <c r="D145" s="50" t="s">
        <v>31</v>
      </c>
      <c r="E145" s="50" t="s">
        <v>32</v>
      </c>
      <c r="F145" s="80">
        <f>Bemessung!F118</f>
        <v>0</v>
      </c>
      <c r="G145" s="50" t="s">
        <v>33</v>
      </c>
      <c r="H145" s="50">
        <f>Bemessung!I118</f>
        <v>0</v>
      </c>
      <c r="I145" s="50" t="s">
        <v>34</v>
      </c>
      <c r="J145" s="80">
        <f>Bemessung!K118</f>
        <v>0</v>
      </c>
      <c r="K145" s="50" t="s">
        <v>35</v>
      </c>
      <c r="L145" s="50" t="s">
        <v>34</v>
      </c>
      <c r="M145" s="50">
        <f>Bemessung!N118</f>
        <v>0</v>
      </c>
      <c r="N145" s="50" t="s">
        <v>31</v>
      </c>
      <c r="O145" s="60">
        <f>(F145+H145*J145)*M145</f>
        <v>0</v>
      </c>
      <c r="P145" s="93" t="s">
        <v>255</v>
      </c>
      <c r="Q145" s="98" t="s">
        <v>316</v>
      </c>
      <c r="Y145" s="348" t="s">
        <v>294</v>
      </c>
      <c r="Z145" s="348"/>
      <c r="AA145" s="348"/>
      <c r="AB145" s="348"/>
      <c r="AC145" s="4">
        <v>8</v>
      </c>
      <c r="AD145" s="4">
        <v>2.6</v>
      </c>
      <c r="AE145" s="39">
        <f t="shared" si="2"/>
        <v>2600</v>
      </c>
      <c r="AF145" s="4">
        <f t="shared" si="3"/>
        <v>8000000</v>
      </c>
      <c r="AG145" s="4">
        <f t="shared" si="4"/>
        <v>8002600</v>
      </c>
      <c r="AH145" s="96">
        <f t="shared" si="5"/>
        <v>8000100</v>
      </c>
      <c r="AI145" s="102">
        <f t="shared" si="6"/>
        <v>8000100</v>
      </c>
      <c r="AJ145" s="4">
        <f t="shared" si="7"/>
        <v>0</v>
      </c>
      <c r="AK145" s="4">
        <f t="shared" si="8"/>
        <v>0</v>
      </c>
    </row>
    <row r="146" spans="1:40" ht="15" x14ac:dyDescent="0.2">
      <c r="A146" s="39"/>
      <c r="B146" s="77"/>
      <c r="C146" s="51"/>
      <c r="D146" s="51"/>
      <c r="E146" s="51"/>
      <c r="F146" s="51"/>
      <c r="G146" s="51"/>
      <c r="H146" s="51"/>
      <c r="I146" s="51"/>
      <c r="J146" s="51"/>
      <c r="K146" s="51"/>
      <c r="L146" s="51"/>
      <c r="M146" s="51"/>
      <c r="N146" s="51"/>
      <c r="O146" s="51"/>
      <c r="P146" s="93"/>
      <c r="R146" s="96">
        <f>Q140+R140+S140+Q144+R144+S144+T144+U144+V144+W144+X144+V148+W148+X148</f>
        <v>0</v>
      </c>
      <c r="V146" s="4">
        <f>IF(E138&gt;100.01,130,0)</f>
        <v>0</v>
      </c>
      <c r="W146" s="4">
        <f>IF(E138&gt;130.01,160,0)</f>
        <v>0</v>
      </c>
      <c r="X146" s="4">
        <f>IF(E138&gt;160.01,200,0)</f>
        <v>0</v>
      </c>
      <c r="Y146" s="349" t="s">
        <v>295</v>
      </c>
      <c r="Z146" s="349"/>
      <c r="AA146" s="349"/>
      <c r="AB146" s="349"/>
      <c r="AC146" s="100">
        <v>8</v>
      </c>
      <c r="AD146" s="100">
        <v>3.2</v>
      </c>
      <c r="AE146" s="99">
        <f t="shared" si="2"/>
        <v>3200</v>
      </c>
      <c r="AF146" s="4">
        <f t="shared" si="3"/>
        <v>8000000</v>
      </c>
      <c r="AG146" s="4">
        <f t="shared" si="4"/>
        <v>8003200</v>
      </c>
      <c r="AH146" s="96">
        <f t="shared" si="5"/>
        <v>8000700</v>
      </c>
      <c r="AI146" s="102">
        <f t="shared" si="6"/>
        <v>8000700</v>
      </c>
      <c r="AJ146" s="4">
        <f t="shared" si="7"/>
        <v>0</v>
      </c>
      <c r="AK146" s="4">
        <f t="shared" si="8"/>
        <v>0</v>
      </c>
    </row>
    <row r="147" spans="1:40" ht="15" x14ac:dyDescent="0.2">
      <c r="A147" s="39"/>
      <c r="B147" s="77"/>
      <c r="C147" s="52" t="s">
        <v>372</v>
      </c>
      <c r="D147" s="52"/>
      <c r="E147" s="52"/>
      <c r="F147" s="52"/>
      <c r="G147" s="52"/>
      <c r="H147" s="52"/>
      <c r="I147" s="52"/>
      <c r="J147" s="52"/>
      <c r="K147" s="52"/>
      <c r="L147" s="52"/>
      <c r="M147" s="52"/>
      <c r="N147" s="52"/>
      <c r="O147" s="60">
        <f>Bemessung!G122</f>
        <v>2500</v>
      </c>
      <c r="P147" s="93" t="s">
        <v>255</v>
      </c>
      <c r="R147" s="386">
        <f>R146*1000000</f>
        <v>0</v>
      </c>
      <c r="S147" s="386"/>
      <c r="T147" s="166"/>
      <c r="U147" s="166"/>
      <c r="V147" s="4">
        <f>IF(E138&gt;130.01,-130,0)</f>
        <v>0</v>
      </c>
      <c r="W147" s="4">
        <f>IF(E138&gt;160.01,-160,0)</f>
        <v>0</v>
      </c>
      <c r="X147" s="4">
        <f>IF(E138&gt;200.01,-200,0)</f>
        <v>0</v>
      </c>
      <c r="Y147" s="349" t="s">
        <v>296</v>
      </c>
      <c r="Z147" s="349"/>
      <c r="AA147" s="349"/>
      <c r="AB147" s="349"/>
      <c r="AC147" s="100">
        <v>8</v>
      </c>
      <c r="AD147" s="100">
        <v>5</v>
      </c>
      <c r="AE147" s="99">
        <f t="shared" si="2"/>
        <v>5000</v>
      </c>
      <c r="AF147" s="4">
        <f t="shared" si="3"/>
        <v>8000000</v>
      </c>
      <c r="AG147" s="4">
        <f t="shared" si="4"/>
        <v>8005000</v>
      </c>
      <c r="AH147" s="96">
        <f t="shared" si="5"/>
        <v>8002500</v>
      </c>
      <c r="AI147" s="102">
        <f t="shared" si="6"/>
        <v>8002500</v>
      </c>
      <c r="AJ147" s="4">
        <f t="shared" si="7"/>
        <v>0</v>
      </c>
      <c r="AK147" s="4">
        <f t="shared" si="8"/>
        <v>0</v>
      </c>
    </row>
    <row r="148" spans="1:40" ht="15" x14ac:dyDescent="0.2">
      <c r="A148" s="39"/>
      <c r="B148" s="77"/>
      <c r="C148" s="52"/>
      <c r="D148" s="52"/>
      <c r="E148" s="52"/>
      <c r="F148" s="52"/>
      <c r="G148" s="52"/>
      <c r="H148" s="52"/>
      <c r="I148" s="52"/>
      <c r="J148" s="52"/>
      <c r="K148" s="52"/>
      <c r="L148" s="52"/>
      <c r="M148" s="52"/>
      <c r="N148" s="52"/>
      <c r="O148" s="60"/>
      <c r="P148" s="93"/>
      <c r="R148" s="400"/>
      <c r="S148" s="400"/>
      <c r="T148" s="167"/>
      <c r="U148" s="167"/>
      <c r="V148" s="96">
        <f>SUM(V146:V147)</f>
        <v>0</v>
      </c>
      <c r="W148" s="96">
        <f>SUM(W146:W147)</f>
        <v>0</v>
      </c>
      <c r="X148" s="96">
        <f>SUM(X146:X147)</f>
        <v>0</v>
      </c>
      <c r="Y148" s="348" t="s">
        <v>297</v>
      </c>
      <c r="Z148" s="348"/>
      <c r="AA148" s="348"/>
      <c r="AB148" s="348"/>
      <c r="AC148" s="4">
        <v>8</v>
      </c>
      <c r="AD148" s="4">
        <v>5.0999999999999996</v>
      </c>
      <c r="AE148" s="39">
        <f t="shared" si="2"/>
        <v>5100</v>
      </c>
      <c r="AF148" s="4">
        <f t="shared" si="3"/>
        <v>8000000</v>
      </c>
      <c r="AG148" s="4">
        <f t="shared" si="4"/>
        <v>8005100</v>
      </c>
      <c r="AH148" s="96">
        <f t="shared" si="5"/>
        <v>8002600</v>
      </c>
      <c r="AI148" s="102">
        <f t="shared" si="6"/>
        <v>8002600</v>
      </c>
      <c r="AJ148" s="4">
        <f t="shared" si="7"/>
        <v>0</v>
      </c>
      <c r="AK148" s="4">
        <f t="shared" si="8"/>
        <v>0</v>
      </c>
    </row>
    <row r="149" spans="1:40" ht="18" x14ac:dyDescent="0.3">
      <c r="A149" s="39"/>
      <c r="B149" s="77"/>
      <c r="C149" s="52"/>
      <c r="D149" s="52"/>
      <c r="E149" s="52"/>
      <c r="F149" s="52"/>
      <c r="G149" s="52"/>
      <c r="H149" s="52"/>
      <c r="I149" s="52"/>
      <c r="J149" s="52"/>
      <c r="K149" s="52"/>
      <c r="L149" s="94" t="s">
        <v>312</v>
      </c>
      <c r="M149" s="70" t="s">
        <v>253</v>
      </c>
      <c r="N149" s="50" t="s">
        <v>31</v>
      </c>
      <c r="O149" s="60">
        <f>MAX(O145:O147)</f>
        <v>2500</v>
      </c>
      <c r="P149" s="93" t="s">
        <v>255</v>
      </c>
      <c r="R149" s="401">
        <f>O149+R147</f>
        <v>2500</v>
      </c>
      <c r="S149" s="401"/>
      <c r="T149" s="168"/>
      <c r="U149" s="168"/>
      <c r="V149" s="168"/>
      <c r="W149" s="168"/>
      <c r="X149" s="168"/>
      <c r="Y149" s="348" t="s">
        <v>298</v>
      </c>
      <c r="Z149" s="348"/>
      <c r="AA149" s="348"/>
      <c r="AB149" s="348"/>
      <c r="AC149" s="4">
        <v>8</v>
      </c>
      <c r="AD149" s="4">
        <v>7.4</v>
      </c>
      <c r="AE149" s="39">
        <f t="shared" si="2"/>
        <v>7400</v>
      </c>
      <c r="AF149" s="4">
        <f t="shared" si="3"/>
        <v>8000000</v>
      </c>
      <c r="AG149" s="4">
        <f t="shared" si="4"/>
        <v>8007400</v>
      </c>
      <c r="AH149" s="96">
        <f t="shared" si="5"/>
        <v>8004900</v>
      </c>
      <c r="AI149" s="102">
        <f t="shared" si="6"/>
        <v>8004900</v>
      </c>
      <c r="AJ149" s="4">
        <f t="shared" si="7"/>
        <v>0</v>
      </c>
      <c r="AK149" s="4">
        <f t="shared" si="8"/>
        <v>0</v>
      </c>
    </row>
    <row r="150" spans="1:40" x14ac:dyDescent="0.2">
      <c r="A150" s="39"/>
      <c r="B150" s="105"/>
      <c r="C150" s="104"/>
      <c r="D150" s="104"/>
      <c r="E150" s="104"/>
      <c r="F150" s="104"/>
      <c r="G150" s="104"/>
      <c r="H150" s="104"/>
      <c r="I150" s="104"/>
      <c r="J150" s="104"/>
      <c r="K150" s="104"/>
      <c r="L150" s="104"/>
      <c r="M150" s="104"/>
      <c r="N150" s="104"/>
      <c r="O150" s="104"/>
      <c r="P150" s="106"/>
      <c r="Y150" s="348" t="s">
        <v>299</v>
      </c>
      <c r="Z150" s="348"/>
      <c r="AA150" s="348"/>
      <c r="AB150" s="348"/>
      <c r="AC150" s="4">
        <v>8</v>
      </c>
      <c r="AD150" s="4">
        <v>9.8000000000000007</v>
      </c>
      <c r="AE150" s="39">
        <f t="shared" si="2"/>
        <v>9800</v>
      </c>
      <c r="AF150" s="4">
        <f t="shared" si="3"/>
        <v>8000000</v>
      </c>
      <c r="AG150" s="4">
        <f t="shared" si="4"/>
        <v>8009800</v>
      </c>
      <c r="AH150" s="96">
        <f t="shared" si="5"/>
        <v>8007300</v>
      </c>
      <c r="AI150" s="102">
        <f t="shared" si="6"/>
        <v>8007300</v>
      </c>
      <c r="AJ150" s="4">
        <f t="shared" si="7"/>
        <v>0</v>
      </c>
      <c r="AK150" s="4">
        <f t="shared" si="8"/>
        <v>0</v>
      </c>
    </row>
    <row r="151" spans="1:40" ht="15" x14ac:dyDescent="0.2">
      <c r="A151" s="39"/>
      <c r="B151" s="49" t="s">
        <v>381</v>
      </c>
      <c r="C151" s="43" t="s">
        <v>382</v>
      </c>
      <c r="D151" s="43"/>
      <c r="E151" s="43"/>
      <c r="F151" s="43"/>
      <c r="G151" s="43"/>
      <c r="H151" s="43"/>
      <c r="I151" s="43"/>
      <c r="J151" s="43"/>
      <c r="K151" s="104"/>
      <c r="L151" s="104"/>
      <c r="M151" s="104"/>
      <c r="N151" s="104"/>
      <c r="O151" s="104"/>
      <c r="P151" s="106"/>
      <c r="Y151" s="348" t="s">
        <v>300</v>
      </c>
      <c r="Z151" s="348"/>
      <c r="AA151" s="348"/>
      <c r="AB151" s="348"/>
      <c r="AC151" s="4">
        <v>12</v>
      </c>
      <c r="AD151" s="4">
        <v>0</v>
      </c>
      <c r="AE151" s="39">
        <f t="shared" si="2"/>
        <v>0</v>
      </c>
      <c r="AF151" s="4">
        <f t="shared" si="3"/>
        <v>12000000</v>
      </c>
      <c r="AG151" s="4">
        <f t="shared" si="4"/>
        <v>12000000</v>
      </c>
      <c r="AH151" s="96">
        <f t="shared" si="5"/>
        <v>11997500</v>
      </c>
      <c r="AI151" s="102">
        <f t="shared" si="6"/>
        <v>11997500</v>
      </c>
      <c r="AJ151" s="4">
        <f t="shared" si="7"/>
        <v>0</v>
      </c>
      <c r="AK151" s="4">
        <f t="shared" si="8"/>
        <v>0</v>
      </c>
    </row>
    <row r="152" spans="1:40" ht="15" x14ac:dyDescent="0.2">
      <c r="A152" s="39"/>
      <c r="B152" s="49"/>
      <c r="C152" s="101"/>
      <c r="D152" s="101"/>
      <c r="E152" s="101"/>
      <c r="F152" s="101"/>
      <c r="G152" s="101"/>
      <c r="H152" s="101"/>
      <c r="I152" s="101"/>
      <c r="J152" s="101"/>
      <c r="K152" s="50"/>
      <c r="L152" s="50"/>
      <c r="M152" s="50"/>
      <c r="N152" s="50"/>
      <c r="O152" s="92"/>
      <c r="P152" s="67"/>
      <c r="Y152" s="348" t="s">
        <v>549</v>
      </c>
      <c r="Z152" s="348"/>
      <c r="AA152" s="348"/>
      <c r="AB152" s="348"/>
      <c r="AC152" s="4">
        <v>12</v>
      </c>
      <c r="AD152" s="4">
        <v>0.5</v>
      </c>
      <c r="AE152" s="39">
        <f t="shared" si="2"/>
        <v>500</v>
      </c>
      <c r="AF152" s="4">
        <f t="shared" si="3"/>
        <v>12000000</v>
      </c>
      <c r="AG152" s="4">
        <f t="shared" si="4"/>
        <v>12000500</v>
      </c>
      <c r="AH152" s="96">
        <f t="shared" si="5"/>
        <v>11998000</v>
      </c>
      <c r="AI152" s="102">
        <f t="shared" si="6"/>
        <v>11998000</v>
      </c>
      <c r="AJ152" s="4">
        <f t="shared" si="7"/>
        <v>0</v>
      </c>
      <c r="AK152" s="4">
        <f t="shared" si="8"/>
        <v>0</v>
      </c>
    </row>
    <row r="153" spans="1:40" ht="15" x14ac:dyDescent="0.2">
      <c r="A153" s="39"/>
      <c r="B153" s="77"/>
      <c r="C153" s="50"/>
      <c r="D153" s="50"/>
      <c r="E153" s="50"/>
      <c r="F153" s="50"/>
      <c r="G153" s="50"/>
      <c r="H153" s="50"/>
      <c r="I153" s="50"/>
      <c r="J153" s="50"/>
      <c r="K153" s="50"/>
      <c r="L153" s="50"/>
      <c r="M153" s="50"/>
      <c r="N153" s="50"/>
      <c r="O153" s="92"/>
      <c r="P153" s="67"/>
      <c r="Y153" s="349" t="s">
        <v>550</v>
      </c>
      <c r="Z153" s="349"/>
      <c r="AA153" s="349"/>
      <c r="AB153" s="349"/>
      <c r="AC153" s="100">
        <v>12</v>
      </c>
      <c r="AD153" s="100">
        <v>1</v>
      </c>
      <c r="AE153" s="99">
        <f t="shared" si="2"/>
        <v>1000</v>
      </c>
      <c r="AF153" s="4">
        <f t="shared" si="3"/>
        <v>12000000</v>
      </c>
      <c r="AG153" s="4">
        <f t="shared" si="4"/>
        <v>12001000</v>
      </c>
      <c r="AH153" s="96">
        <f t="shared" si="5"/>
        <v>11998500</v>
      </c>
      <c r="AI153" s="102">
        <f t="shared" si="6"/>
        <v>11998500</v>
      </c>
      <c r="AJ153" s="4">
        <f t="shared" si="7"/>
        <v>0</v>
      </c>
      <c r="AK153" s="4">
        <f t="shared" si="8"/>
        <v>0</v>
      </c>
    </row>
    <row r="154" spans="1:40" ht="15" customHeight="1" x14ac:dyDescent="0.2">
      <c r="A154" s="39"/>
      <c r="B154" s="77"/>
      <c r="C154" s="70"/>
      <c r="D154" s="50"/>
      <c r="E154" s="50"/>
      <c r="F154" s="80"/>
      <c r="G154" s="50"/>
      <c r="H154" s="50"/>
      <c r="I154" s="50"/>
      <c r="J154" s="80"/>
      <c r="K154" s="50"/>
      <c r="L154" s="50"/>
      <c r="M154" s="50"/>
      <c r="N154" s="50"/>
      <c r="O154" s="91"/>
      <c r="P154" s="67"/>
      <c r="Y154" s="349" t="s">
        <v>551</v>
      </c>
      <c r="Z154" s="349"/>
      <c r="AA154" s="349"/>
      <c r="AB154" s="349"/>
      <c r="AC154" s="100">
        <v>12</v>
      </c>
      <c r="AD154" s="100">
        <v>1.4</v>
      </c>
      <c r="AE154" s="99">
        <f t="shared" si="2"/>
        <v>1400</v>
      </c>
      <c r="AF154" s="4">
        <f t="shared" si="3"/>
        <v>12000000</v>
      </c>
      <c r="AG154" s="4">
        <f t="shared" si="4"/>
        <v>12001400</v>
      </c>
      <c r="AH154" s="96">
        <f t="shared" si="5"/>
        <v>11998900</v>
      </c>
      <c r="AI154" s="102">
        <f t="shared" si="6"/>
        <v>11998900</v>
      </c>
      <c r="AJ154" s="4">
        <f t="shared" si="7"/>
        <v>0</v>
      </c>
      <c r="AK154" s="4">
        <f t="shared" si="8"/>
        <v>0</v>
      </c>
    </row>
    <row r="155" spans="1:40" ht="15" customHeight="1" x14ac:dyDescent="0.2">
      <c r="A155" s="39"/>
      <c r="B155" s="77"/>
      <c r="C155" s="51"/>
      <c r="D155" s="51"/>
      <c r="E155" s="51"/>
      <c r="F155" s="51"/>
      <c r="G155" s="51"/>
      <c r="H155" s="51"/>
      <c r="I155" s="51"/>
      <c r="J155" s="51"/>
      <c r="K155" s="51"/>
      <c r="L155" s="51"/>
      <c r="M155" s="51"/>
      <c r="N155" s="51"/>
      <c r="O155" s="51"/>
      <c r="P155" s="67"/>
      <c r="Y155" s="348" t="s">
        <v>552</v>
      </c>
      <c r="Z155" s="348"/>
      <c r="AA155" s="348"/>
      <c r="AB155" s="348"/>
      <c r="AC155" s="4">
        <v>12</v>
      </c>
      <c r="AD155" s="4">
        <v>1.8</v>
      </c>
      <c r="AE155" s="39">
        <f t="shared" si="2"/>
        <v>1800</v>
      </c>
      <c r="AF155" s="4">
        <f t="shared" si="3"/>
        <v>12000000</v>
      </c>
      <c r="AG155" s="4">
        <f t="shared" si="4"/>
        <v>12001800</v>
      </c>
      <c r="AH155" s="96">
        <f t="shared" si="5"/>
        <v>11999300</v>
      </c>
      <c r="AI155" s="102">
        <f t="shared" si="6"/>
        <v>11999300</v>
      </c>
      <c r="AJ155" s="4">
        <f t="shared" si="7"/>
        <v>0</v>
      </c>
      <c r="AK155" s="4">
        <f t="shared" si="8"/>
        <v>0</v>
      </c>
    </row>
    <row r="156" spans="1:40" ht="15" customHeight="1" x14ac:dyDescent="0.2">
      <c r="A156" s="39"/>
      <c r="B156" s="77"/>
      <c r="C156" s="51" t="s">
        <v>383</v>
      </c>
      <c r="D156" s="51"/>
      <c r="E156" s="51"/>
      <c r="F156" s="51"/>
      <c r="G156" s="51"/>
      <c r="H156" s="51"/>
      <c r="I156" s="51"/>
      <c r="J156" s="51"/>
      <c r="K156" s="51"/>
      <c r="L156" s="51"/>
      <c r="M156" s="51"/>
      <c r="N156" s="51"/>
      <c r="O156" s="92"/>
      <c r="P156" s="67"/>
      <c r="Y156" s="349" t="s">
        <v>301</v>
      </c>
      <c r="Z156" s="349"/>
      <c r="AA156" s="349"/>
      <c r="AB156" s="349"/>
      <c r="AC156" s="100">
        <v>12</v>
      </c>
      <c r="AD156" s="100">
        <v>2.1</v>
      </c>
      <c r="AE156" s="99">
        <f t="shared" si="2"/>
        <v>2100</v>
      </c>
      <c r="AF156" s="4">
        <f t="shared" si="3"/>
        <v>12000000</v>
      </c>
      <c r="AG156" s="4">
        <f t="shared" si="4"/>
        <v>12002100</v>
      </c>
      <c r="AH156" s="96">
        <f t="shared" si="5"/>
        <v>11999600</v>
      </c>
      <c r="AI156" s="102">
        <f t="shared" si="6"/>
        <v>11999600</v>
      </c>
      <c r="AJ156" s="4">
        <f t="shared" si="7"/>
        <v>0</v>
      </c>
      <c r="AK156" s="4">
        <f t="shared" si="8"/>
        <v>0</v>
      </c>
    </row>
    <row r="157" spans="1:40" ht="15" customHeight="1" x14ac:dyDescent="0.2">
      <c r="A157" s="39"/>
      <c r="B157" s="77"/>
      <c r="C157" s="51"/>
      <c r="D157" s="51"/>
      <c r="E157" s="51"/>
      <c r="F157" s="51"/>
      <c r="G157" s="51"/>
      <c r="H157" s="51"/>
      <c r="I157" s="51"/>
      <c r="J157" s="51"/>
      <c r="K157" s="51"/>
      <c r="L157" s="51"/>
      <c r="M157" s="51"/>
      <c r="N157" s="51"/>
      <c r="O157" s="92"/>
      <c r="P157" s="67"/>
      <c r="Y157" s="348" t="s">
        <v>302</v>
      </c>
      <c r="Z157" s="348"/>
      <c r="AA157" s="348"/>
      <c r="AB157" s="348"/>
      <c r="AC157" s="4">
        <v>12</v>
      </c>
      <c r="AD157" s="4">
        <v>2.5</v>
      </c>
      <c r="AE157" s="39">
        <f t="shared" si="2"/>
        <v>2500</v>
      </c>
      <c r="AF157" s="4">
        <f t="shared" si="3"/>
        <v>12000000</v>
      </c>
      <c r="AG157" s="4">
        <f t="shared" si="4"/>
        <v>12002500</v>
      </c>
      <c r="AH157" s="96">
        <f t="shared" si="5"/>
        <v>12000000</v>
      </c>
      <c r="AI157" s="102">
        <f t="shared" si="6"/>
        <v>12000000</v>
      </c>
      <c r="AJ157" s="4">
        <f t="shared" si="7"/>
        <v>0</v>
      </c>
      <c r="AK157" s="4">
        <f t="shared" si="8"/>
        <v>0</v>
      </c>
    </row>
    <row r="158" spans="1:40" ht="25.5" customHeight="1" x14ac:dyDescent="0.35">
      <c r="A158" s="39"/>
      <c r="B158" s="105"/>
      <c r="C158" s="51"/>
      <c r="D158" s="51"/>
      <c r="E158" s="51"/>
      <c r="F158" s="51"/>
      <c r="G158" s="51"/>
      <c r="H158" s="402" t="s">
        <v>384</v>
      </c>
      <c r="I158" s="402"/>
      <c r="J158" s="403">
        <f>IF(R146=4,Q137,IF(R146=8,R137,IF(R146=12,S137,IF(R146=16,Q145,IF(R146&gt;16,R146,IF(R146=0,0))))))</f>
        <v>0</v>
      </c>
      <c r="K158" s="403"/>
      <c r="L158" s="159" t="s">
        <v>152</v>
      </c>
      <c r="M158" s="174">
        <f>R162</f>
        <v>0.6</v>
      </c>
      <c r="N158" s="159" t="s">
        <v>152</v>
      </c>
      <c r="O158" s="160" t="s">
        <v>385</v>
      </c>
      <c r="P158" s="106"/>
      <c r="Y158" s="349" t="s">
        <v>303</v>
      </c>
      <c r="Z158" s="349"/>
      <c r="AA158" s="349"/>
      <c r="AB158" s="349"/>
      <c r="AC158" s="100">
        <v>12</v>
      </c>
      <c r="AD158" s="100">
        <v>2.6</v>
      </c>
      <c r="AE158" s="99">
        <f t="shared" si="2"/>
        <v>2600</v>
      </c>
      <c r="AF158" s="4">
        <f t="shared" si="3"/>
        <v>12000000</v>
      </c>
      <c r="AG158" s="4">
        <f t="shared" si="4"/>
        <v>12002600</v>
      </c>
      <c r="AH158" s="96">
        <f t="shared" si="5"/>
        <v>12000100</v>
      </c>
      <c r="AI158" s="102">
        <f t="shared" si="6"/>
        <v>12000100</v>
      </c>
      <c r="AJ158" s="4">
        <f t="shared" si="7"/>
        <v>0</v>
      </c>
      <c r="AK158" s="4">
        <f t="shared" si="8"/>
        <v>0</v>
      </c>
    </row>
    <row r="159" spans="1:40" ht="15" customHeight="1" x14ac:dyDescent="0.2">
      <c r="A159" s="39"/>
      <c r="B159" s="105"/>
      <c r="C159" s="51"/>
      <c r="D159" s="51"/>
      <c r="E159" s="51"/>
      <c r="F159" s="51"/>
      <c r="G159" s="51"/>
      <c r="H159" s="51"/>
      <c r="I159" s="40" t="s">
        <v>489</v>
      </c>
      <c r="J159" s="40"/>
      <c r="K159" s="40"/>
      <c r="L159" s="40"/>
      <c r="M159" s="40"/>
      <c r="N159" s="40"/>
      <c r="O159" s="40"/>
      <c r="P159" s="106"/>
      <c r="Y159" s="349" t="s">
        <v>304</v>
      </c>
      <c r="Z159" s="349"/>
      <c r="AA159" s="349"/>
      <c r="AB159" s="349"/>
      <c r="AC159" s="100">
        <v>12</v>
      </c>
      <c r="AD159" s="100">
        <v>3.2</v>
      </c>
      <c r="AE159" s="99">
        <f t="shared" si="2"/>
        <v>3200</v>
      </c>
      <c r="AF159" s="4">
        <f t="shared" si="3"/>
        <v>12000000</v>
      </c>
      <c r="AG159" s="4">
        <f t="shared" si="4"/>
        <v>12003200</v>
      </c>
      <c r="AH159" s="96">
        <f t="shared" si="5"/>
        <v>12000700</v>
      </c>
      <c r="AI159" s="102">
        <f t="shared" si="6"/>
        <v>12000700</v>
      </c>
      <c r="AJ159" s="4">
        <f t="shared" si="7"/>
        <v>0</v>
      </c>
      <c r="AK159" s="4">
        <f t="shared" si="8"/>
        <v>0</v>
      </c>
    </row>
    <row r="160" spans="1:40" ht="24" customHeight="1" x14ac:dyDescent="0.2">
      <c r="A160" s="76"/>
      <c r="B160" s="407" t="s">
        <v>318</v>
      </c>
      <c r="C160" s="408"/>
      <c r="D160" s="408"/>
      <c r="E160" s="408"/>
      <c r="F160" s="408"/>
      <c r="G160" s="408"/>
      <c r="H160" s="408"/>
      <c r="I160" s="408"/>
      <c r="J160" s="408"/>
      <c r="K160" s="408"/>
      <c r="L160" s="408"/>
      <c r="M160" s="408"/>
      <c r="N160" s="408"/>
      <c r="O160" s="408"/>
      <c r="P160" s="409"/>
      <c r="R160" s="175">
        <f>IF(R146&lt;200.1,AK274,0)</f>
        <v>0.6</v>
      </c>
      <c r="Y160" s="349" t="s">
        <v>305</v>
      </c>
      <c r="Z160" s="349"/>
      <c r="AA160" s="349"/>
      <c r="AB160" s="349"/>
      <c r="AC160" s="100">
        <v>12</v>
      </c>
      <c r="AD160" s="100">
        <v>3.8</v>
      </c>
      <c r="AE160" s="99">
        <f t="shared" si="2"/>
        <v>3800</v>
      </c>
      <c r="AF160" s="4">
        <f t="shared" si="3"/>
        <v>12000000</v>
      </c>
      <c r="AG160" s="4">
        <f t="shared" si="4"/>
        <v>12003800</v>
      </c>
      <c r="AH160" s="96">
        <f t="shared" si="5"/>
        <v>12001300</v>
      </c>
      <c r="AI160" s="102">
        <f t="shared" si="6"/>
        <v>12001300</v>
      </c>
      <c r="AJ160" s="4">
        <f t="shared" si="7"/>
        <v>0</v>
      </c>
      <c r="AK160" s="4">
        <f t="shared" si="8"/>
        <v>0</v>
      </c>
      <c r="AM160" s="104"/>
      <c r="AN160" s="104"/>
    </row>
    <row r="161" spans="1:40" ht="44.25" customHeight="1" x14ac:dyDescent="0.2">
      <c r="A161" s="39"/>
      <c r="B161" s="105"/>
      <c r="C161" s="104"/>
      <c r="D161" s="104"/>
      <c r="E161" s="104"/>
      <c r="F161" s="104"/>
      <c r="G161" s="104"/>
      <c r="H161" s="104"/>
      <c r="I161" s="104"/>
      <c r="J161" s="104"/>
      <c r="K161" s="104"/>
      <c r="L161" s="104"/>
      <c r="M161" s="104"/>
      <c r="N161" s="104"/>
      <c r="O161" s="104"/>
      <c r="P161" s="106"/>
      <c r="Y161" s="349" t="s">
        <v>306</v>
      </c>
      <c r="Z161" s="349"/>
      <c r="AA161" s="349"/>
      <c r="AB161" s="349"/>
      <c r="AC161" s="100">
        <v>12</v>
      </c>
      <c r="AD161" s="100">
        <v>5</v>
      </c>
      <c r="AE161" s="99">
        <f t="shared" si="2"/>
        <v>5000</v>
      </c>
      <c r="AF161" s="4">
        <f t="shared" si="3"/>
        <v>12000000</v>
      </c>
      <c r="AG161" s="4">
        <f t="shared" si="4"/>
        <v>12005000</v>
      </c>
      <c r="AH161" s="96">
        <f t="shared" si="5"/>
        <v>12002500</v>
      </c>
      <c r="AI161" s="102">
        <f t="shared" si="6"/>
        <v>12002500</v>
      </c>
      <c r="AJ161" s="4">
        <f t="shared" si="7"/>
        <v>0</v>
      </c>
      <c r="AK161" s="4">
        <f t="shared" si="8"/>
        <v>0</v>
      </c>
      <c r="AM161" s="104"/>
      <c r="AN161" s="104"/>
    </row>
    <row r="162" spans="1:40" ht="15" x14ac:dyDescent="0.2">
      <c r="A162" s="39"/>
      <c r="B162" s="172"/>
      <c r="C162" s="173"/>
      <c r="D162" s="173"/>
      <c r="E162" s="173"/>
      <c r="F162" s="173"/>
      <c r="G162" s="173"/>
      <c r="H162" s="173"/>
      <c r="I162" s="173"/>
      <c r="J162" s="173"/>
      <c r="K162" s="173"/>
      <c r="L162" s="173"/>
      <c r="M162" s="191"/>
      <c r="N162" s="212"/>
      <c r="O162" s="212"/>
      <c r="P162" s="213"/>
      <c r="R162" s="175">
        <f>IF(R160&lt;46.1,R160,".....")</f>
        <v>0.6</v>
      </c>
      <c r="Y162" s="348" t="s">
        <v>307</v>
      </c>
      <c r="Z162" s="348"/>
      <c r="AA162" s="348"/>
      <c r="AB162" s="348"/>
      <c r="AC162" s="4">
        <v>12</v>
      </c>
      <c r="AD162" s="4">
        <v>5.0999999999999996</v>
      </c>
      <c r="AE162" s="39">
        <f t="shared" si="2"/>
        <v>5100</v>
      </c>
      <c r="AF162" s="4">
        <f t="shared" si="3"/>
        <v>12000000</v>
      </c>
      <c r="AG162" s="4">
        <f t="shared" si="4"/>
        <v>12005100</v>
      </c>
      <c r="AH162" s="96">
        <f t="shared" si="5"/>
        <v>12002600</v>
      </c>
      <c r="AI162" s="102">
        <f t="shared" si="6"/>
        <v>12002600</v>
      </c>
      <c r="AJ162" s="4">
        <f t="shared" si="7"/>
        <v>0</v>
      </c>
      <c r="AK162" s="4">
        <f t="shared" si="8"/>
        <v>0</v>
      </c>
    </row>
    <row r="163" spans="1:40" customFormat="1" ht="12" customHeight="1" x14ac:dyDescent="0.2">
      <c r="A163" s="39"/>
      <c r="B163" s="171"/>
      <c r="C163" s="171"/>
      <c r="D163" s="171"/>
      <c r="E163" s="171"/>
      <c r="F163" s="171"/>
      <c r="G163" s="171"/>
      <c r="H163" s="171"/>
      <c r="I163" s="171"/>
      <c r="J163" s="171"/>
      <c r="K163" s="171"/>
      <c r="L163" s="171"/>
      <c r="M163" s="192"/>
      <c r="N163" s="170"/>
      <c r="O163" s="4"/>
      <c r="P163" s="4"/>
      <c r="Y163" s="348" t="s">
        <v>308</v>
      </c>
      <c r="Z163" s="348"/>
      <c r="AA163" s="348"/>
      <c r="AB163" s="348"/>
      <c r="AC163" s="4">
        <v>12</v>
      </c>
      <c r="AD163" s="4">
        <v>7.4</v>
      </c>
      <c r="AE163" s="39">
        <f t="shared" si="2"/>
        <v>7400</v>
      </c>
      <c r="AF163" s="4">
        <f t="shared" si="3"/>
        <v>12000000</v>
      </c>
      <c r="AG163" s="4">
        <f t="shared" si="4"/>
        <v>12007400</v>
      </c>
      <c r="AH163" s="96">
        <f t="shared" si="5"/>
        <v>12004900</v>
      </c>
      <c r="AI163" s="102">
        <f t="shared" si="6"/>
        <v>12004900</v>
      </c>
      <c r="AJ163" s="4">
        <f t="shared" si="7"/>
        <v>0</v>
      </c>
      <c r="AK163" s="4">
        <f t="shared" si="8"/>
        <v>0</v>
      </c>
    </row>
    <row r="164" spans="1:40" customFormat="1" x14ac:dyDescent="0.2">
      <c r="A164" s="39"/>
      <c r="B164" s="124"/>
      <c r="C164" s="124"/>
      <c r="D164" s="124"/>
      <c r="E164" s="124"/>
      <c r="F164" s="124"/>
      <c r="G164" s="124"/>
      <c r="H164" s="124"/>
      <c r="I164" s="124"/>
      <c r="J164" s="124"/>
      <c r="K164" s="124"/>
      <c r="L164" s="124"/>
      <c r="M164" s="169"/>
      <c r="N164" s="170"/>
      <c r="O164" s="104"/>
      <c r="P164" s="104"/>
      <c r="Y164" s="348" t="s">
        <v>309</v>
      </c>
      <c r="Z164" s="348"/>
      <c r="AA164" s="348"/>
      <c r="AB164" s="348"/>
      <c r="AC164" s="4">
        <v>12</v>
      </c>
      <c r="AD164" s="4">
        <v>9.8000000000000007</v>
      </c>
      <c r="AE164" s="39">
        <f t="shared" si="2"/>
        <v>9800</v>
      </c>
      <c r="AF164" s="4">
        <f t="shared" si="3"/>
        <v>12000000</v>
      </c>
      <c r="AG164" s="4">
        <f t="shared" si="4"/>
        <v>12009800</v>
      </c>
      <c r="AH164" s="96">
        <f t="shared" si="5"/>
        <v>12007300</v>
      </c>
      <c r="AI164" s="102">
        <f t="shared" si="6"/>
        <v>12007300</v>
      </c>
      <c r="AJ164" s="4">
        <f t="shared" si="7"/>
        <v>0</v>
      </c>
      <c r="AK164" s="4">
        <f t="shared" si="8"/>
        <v>0</v>
      </c>
    </row>
    <row r="165" spans="1:40" customFormat="1" ht="10.5" customHeight="1" x14ac:dyDescent="0.2">
      <c r="A165" s="39"/>
      <c r="B165" s="124"/>
      <c r="C165" s="124"/>
      <c r="D165" s="124"/>
      <c r="E165" s="124"/>
      <c r="F165" s="124"/>
      <c r="G165" s="124"/>
      <c r="H165" s="124"/>
      <c r="I165" s="124"/>
      <c r="J165" s="124"/>
      <c r="K165" s="124"/>
      <c r="L165" s="124"/>
      <c r="M165" s="169"/>
      <c r="N165" s="170"/>
      <c r="O165" s="170"/>
      <c r="P165" s="170"/>
      <c r="Y165" s="348" t="s">
        <v>310</v>
      </c>
      <c r="Z165" s="348"/>
      <c r="AA165" s="348"/>
      <c r="AB165" s="348"/>
      <c r="AC165" s="4">
        <v>16</v>
      </c>
      <c r="AD165" s="4">
        <v>0</v>
      </c>
      <c r="AE165" s="39">
        <f t="shared" si="2"/>
        <v>0</v>
      </c>
      <c r="AF165" s="4">
        <f t="shared" si="3"/>
        <v>16000000</v>
      </c>
      <c r="AG165" s="4">
        <f t="shared" si="4"/>
        <v>16000000</v>
      </c>
      <c r="AH165" s="96">
        <f t="shared" si="5"/>
        <v>15997500</v>
      </c>
      <c r="AI165" s="102">
        <f t="shared" si="6"/>
        <v>15997500</v>
      </c>
      <c r="AJ165" s="4">
        <f t="shared" si="7"/>
        <v>0</v>
      </c>
      <c r="AK165" s="4">
        <f t="shared" si="8"/>
        <v>0</v>
      </c>
    </row>
    <row r="166" spans="1:40" customFormat="1" ht="10.5" customHeight="1" x14ac:dyDescent="0.2">
      <c r="A166" s="39"/>
      <c r="B166" s="124"/>
      <c r="C166" s="124"/>
      <c r="D166" s="124"/>
      <c r="E166" s="124"/>
      <c r="F166" s="124"/>
      <c r="G166" s="124"/>
      <c r="H166" s="124"/>
      <c r="I166" s="124"/>
      <c r="J166" s="124"/>
      <c r="K166" s="124"/>
      <c r="L166" s="124"/>
      <c r="M166" s="169"/>
      <c r="N166" s="170"/>
      <c r="O166" s="170"/>
      <c r="P166" s="170"/>
      <c r="Y166" s="348" t="s">
        <v>311</v>
      </c>
      <c r="Z166" s="348"/>
      <c r="AA166" s="348"/>
      <c r="AB166" s="348"/>
      <c r="AC166" s="4">
        <v>16</v>
      </c>
      <c r="AD166" s="4">
        <v>0.5</v>
      </c>
      <c r="AE166" s="39">
        <f t="shared" si="2"/>
        <v>500</v>
      </c>
      <c r="AF166" s="4">
        <f t="shared" si="3"/>
        <v>16000000</v>
      </c>
      <c r="AG166" s="4">
        <f t="shared" si="4"/>
        <v>16000500</v>
      </c>
      <c r="AH166" s="96">
        <f t="shared" si="5"/>
        <v>15998000</v>
      </c>
      <c r="AI166" s="102">
        <f t="shared" si="6"/>
        <v>15998000</v>
      </c>
      <c r="AJ166" s="4">
        <f t="shared" si="7"/>
        <v>0</v>
      </c>
      <c r="AK166" s="4">
        <f t="shared" si="8"/>
        <v>0</v>
      </c>
    </row>
    <row r="167" spans="1:40" customFormat="1" ht="10.5" customHeight="1" x14ac:dyDescent="0.2">
      <c r="A167" s="39"/>
      <c r="B167" s="124"/>
      <c r="C167" s="124"/>
      <c r="D167" s="124"/>
      <c r="E167" s="124"/>
      <c r="F167" s="124"/>
      <c r="G167" s="124"/>
      <c r="H167" s="124"/>
      <c r="I167" s="124"/>
      <c r="J167" s="124"/>
      <c r="K167" s="124"/>
      <c r="L167" s="124"/>
      <c r="M167" s="169"/>
      <c r="N167" s="170"/>
      <c r="O167" s="170"/>
      <c r="P167" s="170"/>
      <c r="Y167" s="348" t="s">
        <v>553</v>
      </c>
      <c r="Z167" s="348"/>
      <c r="AA167" s="348"/>
      <c r="AB167" s="348"/>
      <c r="AC167" s="4">
        <v>16</v>
      </c>
      <c r="AD167" s="4">
        <v>1</v>
      </c>
      <c r="AE167" s="39">
        <f t="shared" si="2"/>
        <v>1000</v>
      </c>
      <c r="AF167" s="4">
        <f t="shared" si="3"/>
        <v>16000000</v>
      </c>
      <c r="AG167" s="4">
        <f t="shared" si="4"/>
        <v>16001000</v>
      </c>
      <c r="AH167" s="96">
        <f t="shared" si="5"/>
        <v>15998500</v>
      </c>
      <c r="AI167" s="102">
        <f t="shared" si="6"/>
        <v>15998500</v>
      </c>
      <c r="AJ167" s="4">
        <f t="shared" si="7"/>
        <v>0</v>
      </c>
      <c r="AK167" s="4">
        <f t="shared" si="8"/>
        <v>0</v>
      </c>
    </row>
    <row r="168" spans="1:40" customFormat="1" ht="10.5" customHeight="1" x14ac:dyDescent="0.2">
      <c r="A168" s="39"/>
      <c r="B168" s="124"/>
      <c r="C168" s="124"/>
      <c r="D168" s="124"/>
      <c r="E168" s="124"/>
      <c r="F168" s="124"/>
      <c r="G168" s="124"/>
      <c r="H168" s="124"/>
      <c r="I168" s="124"/>
      <c r="J168" s="124"/>
      <c r="K168" s="124"/>
      <c r="L168" s="124"/>
      <c r="M168" s="169"/>
      <c r="N168" s="170"/>
      <c r="O168" s="170"/>
      <c r="P168" s="170"/>
      <c r="Y168" s="348" t="s">
        <v>554</v>
      </c>
      <c r="Z168" s="348"/>
      <c r="AA168" s="348"/>
      <c r="AB168" s="348"/>
      <c r="AC168" s="4">
        <v>16</v>
      </c>
      <c r="AD168" s="4">
        <v>1.4</v>
      </c>
      <c r="AE168" s="39">
        <f t="shared" si="2"/>
        <v>1400</v>
      </c>
      <c r="AF168" s="4">
        <f t="shared" si="3"/>
        <v>16000000</v>
      </c>
      <c r="AG168" s="4">
        <f t="shared" si="4"/>
        <v>16001400</v>
      </c>
      <c r="AH168" s="96">
        <f t="shared" si="5"/>
        <v>15998900</v>
      </c>
      <c r="AI168" s="102">
        <f t="shared" si="6"/>
        <v>15998900</v>
      </c>
      <c r="AJ168" s="4">
        <f t="shared" si="7"/>
        <v>0</v>
      </c>
      <c r="AK168" s="4">
        <f t="shared" si="8"/>
        <v>0</v>
      </c>
    </row>
    <row r="169" spans="1:40" customFormat="1" ht="10.5" customHeight="1" x14ac:dyDescent="0.2">
      <c r="A169" s="39"/>
      <c r="B169" s="124"/>
      <c r="C169" s="124"/>
      <c r="D169" s="124"/>
      <c r="E169" s="124"/>
      <c r="F169" s="124"/>
      <c r="G169" s="124"/>
      <c r="H169" s="124"/>
      <c r="I169" s="124"/>
      <c r="J169" s="124"/>
      <c r="K169" s="124"/>
      <c r="L169" s="124"/>
      <c r="M169" s="169"/>
      <c r="N169" s="170"/>
      <c r="O169" s="170"/>
      <c r="P169" s="170"/>
      <c r="Y169" s="349" t="s">
        <v>555</v>
      </c>
      <c r="Z169" s="349"/>
      <c r="AA169" s="349"/>
      <c r="AB169" s="349"/>
      <c r="AC169" s="100">
        <v>16</v>
      </c>
      <c r="AD169" s="100">
        <v>1.8</v>
      </c>
      <c r="AE169" s="99">
        <f t="shared" si="2"/>
        <v>1800</v>
      </c>
      <c r="AF169" s="4">
        <f t="shared" si="3"/>
        <v>16000000</v>
      </c>
      <c r="AG169" s="4">
        <f t="shared" si="4"/>
        <v>16001800</v>
      </c>
      <c r="AH169" s="96">
        <f t="shared" si="5"/>
        <v>15999300</v>
      </c>
      <c r="AI169" s="102">
        <f t="shared" si="6"/>
        <v>15999300</v>
      </c>
      <c r="AJ169" s="4">
        <f t="shared" si="7"/>
        <v>0</v>
      </c>
      <c r="AK169" s="4">
        <f t="shared" si="8"/>
        <v>0</v>
      </c>
    </row>
    <row r="170" spans="1:40" customFormat="1" ht="10.5" customHeight="1" x14ac:dyDescent="0.2">
      <c r="A170" s="39"/>
      <c r="B170" s="124"/>
      <c r="C170" s="124"/>
      <c r="D170" s="124"/>
      <c r="E170" s="124"/>
      <c r="F170" s="124"/>
      <c r="G170" s="124"/>
      <c r="H170" s="124"/>
      <c r="I170" s="124"/>
      <c r="J170" s="124"/>
      <c r="K170" s="124"/>
      <c r="L170" s="124"/>
      <c r="M170" s="169"/>
      <c r="N170" s="170"/>
      <c r="O170" s="170"/>
      <c r="P170" s="170"/>
      <c r="Y170" s="348" t="s">
        <v>556</v>
      </c>
      <c r="Z170" s="348"/>
      <c r="AA170" s="348"/>
      <c r="AB170" s="348"/>
      <c r="AC170" s="4">
        <v>16</v>
      </c>
      <c r="AD170" s="4">
        <v>2.1</v>
      </c>
      <c r="AE170" s="39">
        <f t="shared" si="2"/>
        <v>2100</v>
      </c>
      <c r="AF170" s="4">
        <f t="shared" si="3"/>
        <v>16000000</v>
      </c>
      <c r="AG170" s="4">
        <f t="shared" si="4"/>
        <v>16002100</v>
      </c>
      <c r="AH170" s="96">
        <f t="shared" si="5"/>
        <v>15999600</v>
      </c>
      <c r="AI170" s="102">
        <f t="shared" si="6"/>
        <v>15999600</v>
      </c>
      <c r="AJ170" s="4">
        <f t="shared" si="7"/>
        <v>0</v>
      </c>
      <c r="AK170" s="4">
        <f t="shared" si="8"/>
        <v>0</v>
      </c>
    </row>
    <row r="171" spans="1:40" customFormat="1" ht="10.5" customHeight="1" x14ac:dyDescent="0.2">
      <c r="A171" s="39"/>
      <c r="B171" s="124"/>
      <c r="C171" s="124"/>
      <c r="D171" s="124"/>
      <c r="E171" s="124"/>
      <c r="F171" s="124"/>
      <c r="G171" s="124"/>
      <c r="H171" s="124"/>
      <c r="I171" s="124"/>
      <c r="J171" s="124"/>
      <c r="K171" s="124"/>
      <c r="L171" s="124"/>
      <c r="M171" s="169"/>
      <c r="N171" s="170"/>
      <c r="O171" s="170"/>
      <c r="P171" s="170"/>
      <c r="Y171" s="348" t="s">
        <v>557</v>
      </c>
      <c r="Z171" s="348"/>
      <c r="AA171" s="348"/>
      <c r="AB171" s="348"/>
      <c r="AC171" s="4">
        <v>16</v>
      </c>
      <c r="AD171" s="4">
        <v>2.5</v>
      </c>
      <c r="AE171" s="39">
        <f t="shared" si="2"/>
        <v>2500</v>
      </c>
      <c r="AF171" s="4">
        <f t="shared" si="3"/>
        <v>16000000</v>
      </c>
      <c r="AG171" s="4">
        <f t="shared" si="4"/>
        <v>16002500</v>
      </c>
      <c r="AH171" s="96">
        <f t="shared" si="5"/>
        <v>16000000</v>
      </c>
      <c r="AI171" s="102">
        <f t="shared" si="6"/>
        <v>16000000</v>
      </c>
      <c r="AJ171" s="4">
        <f t="shared" si="7"/>
        <v>0</v>
      </c>
      <c r="AK171" s="4">
        <f t="shared" si="8"/>
        <v>0</v>
      </c>
      <c r="AL171" s="4"/>
    </row>
    <row r="172" spans="1:40" customFormat="1" ht="10.5" customHeight="1" x14ac:dyDescent="0.2">
      <c r="A172" s="39"/>
      <c r="B172" s="124"/>
      <c r="C172" s="124"/>
      <c r="D172" s="124"/>
      <c r="E172" s="124"/>
      <c r="F172" s="124"/>
      <c r="G172" s="124"/>
      <c r="H172" s="124"/>
      <c r="I172" s="124"/>
      <c r="J172" s="124"/>
      <c r="K172" s="124"/>
      <c r="L172" s="124"/>
      <c r="M172" s="169"/>
      <c r="N172" s="170"/>
      <c r="O172" s="170"/>
      <c r="P172" s="170"/>
      <c r="Y172" s="348" t="s">
        <v>558</v>
      </c>
      <c r="Z172" s="348"/>
      <c r="AA172" s="348"/>
      <c r="AB172" s="348"/>
      <c r="AC172" s="4">
        <v>16</v>
      </c>
      <c r="AD172" s="4">
        <v>2.6</v>
      </c>
      <c r="AE172" s="39">
        <f t="shared" si="2"/>
        <v>2600</v>
      </c>
      <c r="AF172" s="4">
        <f t="shared" si="3"/>
        <v>16000000</v>
      </c>
      <c r="AG172" s="4">
        <f t="shared" si="4"/>
        <v>16002600</v>
      </c>
      <c r="AH172" s="96">
        <f t="shared" si="5"/>
        <v>16000100</v>
      </c>
      <c r="AI172" s="102">
        <f t="shared" si="6"/>
        <v>16000100</v>
      </c>
      <c r="AJ172" s="4">
        <f t="shared" si="7"/>
        <v>0</v>
      </c>
      <c r="AK172" s="4">
        <f t="shared" si="8"/>
        <v>0</v>
      </c>
      <c r="AL172" s="4"/>
    </row>
    <row r="173" spans="1:40" customFormat="1" ht="10.5" customHeight="1" x14ac:dyDescent="0.2">
      <c r="A173" s="39"/>
      <c r="B173" s="124"/>
      <c r="C173" s="124"/>
      <c r="D173" s="124"/>
      <c r="E173" s="124"/>
      <c r="F173" s="124"/>
      <c r="G173" s="124"/>
      <c r="H173" s="124"/>
      <c r="I173" s="124"/>
      <c r="J173" s="124"/>
      <c r="K173" s="124"/>
      <c r="L173" s="124"/>
      <c r="M173" s="169"/>
      <c r="N173" s="170"/>
      <c r="O173" s="170"/>
      <c r="P173" s="170"/>
      <c r="Y173" s="349" t="s">
        <v>559</v>
      </c>
      <c r="Z173" s="349"/>
      <c r="AA173" s="349"/>
      <c r="AB173" s="349"/>
      <c r="AC173" s="100">
        <v>16</v>
      </c>
      <c r="AD173" s="100">
        <v>3.2</v>
      </c>
      <c r="AE173" s="99">
        <f t="shared" si="2"/>
        <v>3200</v>
      </c>
      <c r="AF173" s="4">
        <f t="shared" si="3"/>
        <v>16000000</v>
      </c>
      <c r="AG173" s="4">
        <f t="shared" si="4"/>
        <v>16003200</v>
      </c>
      <c r="AH173" s="96">
        <f t="shared" si="5"/>
        <v>16000700</v>
      </c>
      <c r="AI173" s="102">
        <f t="shared" si="6"/>
        <v>16000700</v>
      </c>
      <c r="AJ173" s="4">
        <f t="shared" si="7"/>
        <v>0</v>
      </c>
      <c r="AK173" s="4">
        <f t="shared" si="8"/>
        <v>0</v>
      </c>
      <c r="AL173" s="4"/>
    </row>
    <row r="174" spans="1:40" customFormat="1" ht="10.5" customHeight="1" x14ac:dyDescent="0.2">
      <c r="A174" s="39"/>
      <c r="B174" s="124"/>
      <c r="C174" s="124"/>
      <c r="D174" s="124"/>
      <c r="E174" s="124"/>
      <c r="F174" s="124"/>
      <c r="G174" s="124"/>
      <c r="H174" s="124"/>
      <c r="I174" s="124"/>
      <c r="J174" s="124"/>
      <c r="K174" s="124"/>
      <c r="L174" s="124"/>
      <c r="M174" s="169"/>
      <c r="N174" s="170"/>
      <c r="O174" s="170"/>
      <c r="P174" s="170"/>
      <c r="Y174" s="349" t="s">
        <v>560</v>
      </c>
      <c r="Z174" s="349"/>
      <c r="AA174" s="349"/>
      <c r="AB174" s="349"/>
      <c r="AC174" s="100">
        <v>16</v>
      </c>
      <c r="AD174" s="100">
        <v>3.8</v>
      </c>
      <c r="AE174" s="99">
        <f t="shared" si="2"/>
        <v>3800</v>
      </c>
      <c r="AF174" s="4">
        <f t="shared" si="3"/>
        <v>16000000</v>
      </c>
      <c r="AG174" s="4">
        <f t="shared" si="4"/>
        <v>16003800</v>
      </c>
      <c r="AH174" s="96">
        <f t="shared" si="5"/>
        <v>16001300</v>
      </c>
      <c r="AI174" s="102">
        <f t="shared" si="6"/>
        <v>16001300</v>
      </c>
      <c r="AJ174" s="4">
        <f t="shared" si="7"/>
        <v>0</v>
      </c>
      <c r="AK174" s="4">
        <f t="shared" si="8"/>
        <v>0</v>
      </c>
      <c r="AL174" s="4"/>
    </row>
    <row r="175" spans="1:40" customFormat="1" ht="10.5" customHeight="1" x14ac:dyDescent="0.2">
      <c r="A175" s="39"/>
      <c r="B175" s="124"/>
      <c r="C175" s="124"/>
      <c r="D175" s="124"/>
      <c r="E175" s="124"/>
      <c r="F175" s="124"/>
      <c r="G175" s="124"/>
      <c r="H175" s="124"/>
      <c r="I175" s="124"/>
      <c r="J175" s="124"/>
      <c r="K175" s="124"/>
      <c r="L175" s="124"/>
      <c r="M175" s="169"/>
      <c r="N175" s="170"/>
      <c r="O175" s="170"/>
      <c r="P175" s="170"/>
      <c r="Y175" s="349" t="s">
        <v>561</v>
      </c>
      <c r="Z175" s="349"/>
      <c r="AA175" s="349"/>
      <c r="AB175" s="349"/>
      <c r="AC175" s="100">
        <v>16</v>
      </c>
      <c r="AD175" s="100">
        <v>5</v>
      </c>
      <c r="AE175" s="99">
        <f t="shared" si="2"/>
        <v>5000</v>
      </c>
      <c r="AF175" s="4">
        <f t="shared" si="3"/>
        <v>16000000</v>
      </c>
      <c r="AG175" s="4">
        <f t="shared" si="4"/>
        <v>16005000</v>
      </c>
      <c r="AH175" s="96">
        <f t="shared" si="5"/>
        <v>16002500</v>
      </c>
      <c r="AI175" s="102">
        <f t="shared" si="6"/>
        <v>16002500</v>
      </c>
      <c r="AJ175" s="4">
        <f t="shared" si="7"/>
        <v>0</v>
      </c>
      <c r="AK175" s="4">
        <f t="shared" si="8"/>
        <v>0</v>
      </c>
    </row>
    <row r="176" spans="1:40" customFormat="1" ht="10.5" customHeight="1" x14ac:dyDescent="0.2">
      <c r="A176" s="39"/>
      <c r="B176" s="124"/>
      <c r="C176" s="124"/>
      <c r="D176" s="124"/>
      <c r="E176" s="124"/>
      <c r="F176" s="124"/>
      <c r="G176" s="124"/>
      <c r="H176" s="124"/>
      <c r="I176" s="124"/>
      <c r="J176" s="124"/>
      <c r="K176" s="124"/>
      <c r="L176" s="124"/>
      <c r="M176" s="169"/>
      <c r="N176" s="170"/>
      <c r="O176" s="170"/>
      <c r="P176" s="170"/>
      <c r="Y176" s="348" t="s">
        <v>562</v>
      </c>
      <c r="Z176" s="348"/>
      <c r="AA176" s="348"/>
      <c r="AB176" s="348"/>
      <c r="AC176" s="4">
        <v>16</v>
      </c>
      <c r="AD176" s="4">
        <v>5.0999999999999996</v>
      </c>
      <c r="AE176" s="39">
        <f t="shared" si="2"/>
        <v>5100</v>
      </c>
      <c r="AF176" s="4">
        <f t="shared" si="3"/>
        <v>16000000</v>
      </c>
      <c r="AG176" s="4">
        <f t="shared" si="4"/>
        <v>16005100</v>
      </c>
      <c r="AH176" s="96">
        <f t="shared" si="5"/>
        <v>16002600</v>
      </c>
      <c r="AI176" s="102">
        <f t="shared" si="6"/>
        <v>16002600</v>
      </c>
      <c r="AJ176" s="4">
        <f t="shared" si="7"/>
        <v>0</v>
      </c>
      <c r="AK176" s="4">
        <f t="shared" si="8"/>
        <v>0</v>
      </c>
    </row>
    <row r="177" spans="1:37" customFormat="1" ht="10.5" customHeight="1" x14ac:dyDescent="0.2">
      <c r="A177" s="39"/>
      <c r="B177" s="124"/>
      <c r="C177" s="124"/>
      <c r="D177" s="124"/>
      <c r="E177" s="124"/>
      <c r="F177" s="124"/>
      <c r="G177" s="124"/>
      <c r="H177" s="124"/>
      <c r="I177" s="124"/>
      <c r="J177" s="124"/>
      <c r="K177" s="124"/>
      <c r="L177" s="124"/>
      <c r="M177" s="169"/>
      <c r="N177" s="170"/>
      <c r="O177" s="170"/>
      <c r="P177" s="170"/>
      <c r="Y177" s="348" t="s">
        <v>563</v>
      </c>
      <c r="Z177" s="348"/>
      <c r="AA177" s="348"/>
      <c r="AB177" s="348"/>
      <c r="AC177" s="4">
        <v>16</v>
      </c>
      <c r="AD177" s="4">
        <v>7.4</v>
      </c>
      <c r="AE177" s="39">
        <f t="shared" si="2"/>
        <v>7400</v>
      </c>
      <c r="AF177" s="4">
        <f t="shared" si="3"/>
        <v>16000000</v>
      </c>
      <c r="AG177" s="4">
        <f t="shared" si="4"/>
        <v>16007400</v>
      </c>
      <c r="AH177" s="96">
        <f t="shared" si="5"/>
        <v>16004900</v>
      </c>
      <c r="AI177" s="102">
        <f t="shared" si="6"/>
        <v>16004900</v>
      </c>
      <c r="AJ177" s="4">
        <f t="shared" si="7"/>
        <v>0</v>
      </c>
      <c r="AK177" s="4">
        <f t="shared" si="8"/>
        <v>0</v>
      </c>
    </row>
    <row r="178" spans="1:37" customFormat="1" ht="10.5" customHeight="1" x14ac:dyDescent="0.2">
      <c r="A178" s="39"/>
      <c r="B178" s="124"/>
      <c r="C178" s="124"/>
      <c r="D178" s="124"/>
      <c r="E178" s="124"/>
      <c r="F178" s="124"/>
      <c r="G178" s="124"/>
      <c r="H178" s="124"/>
      <c r="I178" s="124"/>
      <c r="J178" s="124"/>
      <c r="K178" s="124"/>
      <c r="L178" s="124"/>
      <c r="M178" s="169"/>
      <c r="N178" s="170"/>
      <c r="O178" s="170"/>
      <c r="P178" s="170"/>
      <c r="Y178" s="348" t="s">
        <v>564</v>
      </c>
      <c r="Z178" s="348"/>
      <c r="AA178" s="348"/>
      <c r="AB178" s="348"/>
      <c r="AC178" s="4">
        <v>16</v>
      </c>
      <c r="AD178" s="4">
        <v>9.8000000000000007</v>
      </c>
      <c r="AE178" s="39">
        <f t="shared" si="2"/>
        <v>9800</v>
      </c>
      <c r="AF178" s="4">
        <f>AC178*1000000</f>
        <v>16000000</v>
      </c>
      <c r="AG178" s="4">
        <f>AE178+AF178</f>
        <v>16009800</v>
      </c>
      <c r="AH178" s="96">
        <f t="shared" si="5"/>
        <v>16007300</v>
      </c>
      <c r="AI178" s="102">
        <f t="shared" si="6"/>
        <v>16007300</v>
      </c>
      <c r="AJ178" s="4">
        <f t="shared" si="7"/>
        <v>0</v>
      </c>
      <c r="AK178" s="4">
        <f>IF(AJ178=1,AD178,0)</f>
        <v>0</v>
      </c>
    </row>
    <row r="179" spans="1:37" customFormat="1" ht="10.5" customHeight="1" x14ac:dyDescent="0.2">
      <c r="A179" s="39"/>
      <c r="B179" s="124"/>
      <c r="C179" s="124"/>
      <c r="D179" s="124"/>
      <c r="E179" s="124"/>
      <c r="F179" s="124"/>
      <c r="G179" s="124"/>
      <c r="H179" s="124"/>
      <c r="I179" s="124"/>
      <c r="J179" s="124"/>
      <c r="K179" s="124"/>
      <c r="L179" s="124"/>
      <c r="M179" s="169"/>
      <c r="N179" s="170"/>
      <c r="O179" s="170"/>
      <c r="P179" s="170"/>
      <c r="Y179" s="348" t="s">
        <v>565</v>
      </c>
      <c r="Z179" s="348"/>
      <c r="AA179" s="348"/>
      <c r="AB179" s="348"/>
      <c r="AC179" s="4">
        <v>20</v>
      </c>
      <c r="AD179" s="4">
        <v>1.6</v>
      </c>
      <c r="AE179" s="39">
        <f t="shared" si="2"/>
        <v>1600</v>
      </c>
      <c r="AF179" s="4">
        <f t="shared" ref="AF179:AF189" si="10">AC179*1000000</f>
        <v>20000000</v>
      </c>
      <c r="AG179" s="4">
        <f t="shared" ref="AG179:AG189" si="11">AE179+AF179</f>
        <v>20001600</v>
      </c>
      <c r="AH179" s="96">
        <f t="shared" si="5"/>
        <v>19999100</v>
      </c>
      <c r="AI179" s="102">
        <f t="shared" si="6"/>
        <v>19999100</v>
      </c>
      <c r="AJ179" s="4">
        <f t="shared" si="7"/>
        <v>0</v>
      </c>
      <c r="AK179" s="4">
        <f t="shared" ref="AK179:AK189" si="12">IF(AJ179=1,AD179,0)</f>
        <v>0</v>
      </c>
    </row>
    <row r="180" spans="1:37" customFormat="1" ht="10.5" customHeight="1" x14ac:dyDescent="0.2">
      <c r="A180" s="39"/>
      <c r="B180" s="124"/>
      <c r="C180" s="124"/>
      <c r="D180" s="124"/>
      <c r="E180" s="124"/>
      <c r="F180" s="124"/>
      <c r="G180" s="124"/>
      <c r="H180" s="124"/>
      <c r="I180" s="124"/>
      <c r="J180" s="124"/>
      <c r="K180" s="124"/>
      <c r="L180" s="124"/>
      <c r="M180" s="169"/>
      <c r="N180" s="170"/>
      <c r="O180" s="170"/>
      <c r="P180" s="170"/>
      <c r="Y180" s="348" t="s">
        <v>566</v>
      </c>
      <c r="Z180" s="348"/>
      <c r="AA180" s="348"/>
      <c r="AB180" s="348"/>
      <c r="AC180" s="4">
        <v>20</v>
      </c>
      <c r="AD180" s="4">
        <v>2.5</v>
      </c>
      <c r="AE180" s="39">
        <f t="shared" si="2"/>
        <v>2500</v>
      </c>
      <c r="AF180" s="4">
        <f t="shared" si="10"/>
        <v>20000000</v>
      </c>
      <c r="AG180" s="4">
        <f t="shared" si="11"/>
        <v>20002500</v>
      </c>
      <c r="AH180" s="96">
        <f t="shared" si="5"/>
        <v>20000000</v>
      </c>
      <c r="AI180" s="102">
        <f t="shared" si="6"/>
        <v>20000000</v>
      </c>
      <c r="AJ180" s="4">
        <f t="shared" si="7"/>
        <v>0</v>
      </c>
      <c r="AK180" s="4">
        <f t="shared" si="12"/>
        <v>0</v>
      </c>
    </row>
    <row r="181" spans="1:37" customFormat="1" ht="10.5" customHeight="1" x14ac:dyDescent="0.2">
      <c r="A181" s="39"/>
      <c r="B181" s="124"/>
      <c r="C181" s="124"/>
      <c r="D181" s="124"/>
      <c r="E181" s="124"/>
      <c r="F181" s="124"/>
      <c r="G181" s="124"/>
      <c r="H181" s="124"/>
      <c r="I181" s="124"/>
      <c r="J181" s="124"/>
      <c r="K181" s="124"/>
      <c r="L181" s="124"/>
      <c r="M181" s="169"/>
      <c r="N181" s="170"/>
      <c r="O181" s="170"/>
      <c r="P181" s="170"/>
      <c r="Y181" s="348" t="s">
        <v>387</v>
      </c>
      <c r="Z181" s="348"/>
      <c r="AA181" s="348"/>
      <c r="AB181" s="348"/>
      <c r="AC181" s="4">
        <v>20</v>
      </c>
      <c r="AD181" s="4">
        <v>3.2</v>
      </c>
      <c r="AE181" s="39">
        <f t="shared" si="2"/>
        <v>3200</v>
      </c>
      <c r="AF181" s="4">
        <f t="shared" si="10"/>
        <v>20000000</v>
      </c>
      <c r="AG181" s="4">
        <f t="shared" si="11"/>
        <v>20003200</v>
      </c>
      <c r="AH181" s="96">
        <f t="shared" si="5"/>
        <v>20000700</v>
      </c>
      <c r="AI181" s="102">
        <f t="shared" si="6"/>
        <v>20000700</v>
      </c>
      <c r="AJ181" s="4">
        <f t="shared" si="7"/>
        <v>0</v>
      </c>
      <c r="AK181" s="4">
        <f t="shared" si="12"/>
        <v>0</v>
      </c>
    </row>
    <row r="182" spans="1:37" customFormat="1" ht="10.5" customHeight="1" x14ac:dyDescent="0.2">
      <c r="A182" s="39"/>
      <c r="B182" s="124"/>
      <c r="C182" s="124"/>
      <c r="D182" s="124"/>
      <c r="E182" s="124"/>
      <c r="F182" s="124"/>
      <c r="G182" s="124"/>
      <c r="H182" s="124"/>
      <c r="I182" s="124"/>
      <c r="J182" s="124"/>
      <c r="K182" s="124"/>
      <c r="L182" s="124"/>
      <c r="M182" s="169"/>
      <c r="N182" s="170"/>
      <c r="O182" s="170"/>
      <c r="P182" s="170"/>
      <c r="Y182" s="348" t="s">
        <v>388</v>
      </c>
      <c r="Z182" s="348"/>
      <c r="AA182" s="348"/>
      <c r="AB182" s="348"/>
      <c r="AC182" s="4">
        <v>20</v>
      </c>
      <c r="AD182" s="4">
        <v>5</v>
      </c>
      <c r="AE182" s="39">
        <f t="shared" si="2"/>
        <v>5000</v>
      </c>
      <c r="AF182" s="4">
        <f t="shared" si="10"/>
        <v>20000000</v>
      </c>
      <c r="AG182" s="4">
        <f t="shared" si="11"/>
        <v>20005000</v>
      </c>
      <c r="AH182" s="96">
        <f t="shared" si="5"/>
        <v>20002500</v>
      </c>
      <c r="AI182" s="102">
        <f t="shared" si="6"/>
        <v>20002500</v>
      </c>
      <c r="AJ182" s="4">
        <f t="shared" si="7"/>
        <v>0</v>
      </c>
      <c r="AK182" s="4">
        <f t="shared" si="12"/>
        <v>0</v>
      </c>
    </row>
    <row r="183" spans="1:37" customFormat="1" ht="10.5" customHeight="1" x14ac:dyDescent="0.2">
      <c r="A183" s="39"/>
      <c r="B183" s="124"/>
      <c r="C183" s="124"/>
      <c r="D183" s="124"/>
      <c r="E183" s="124"/>
      <c r="F183" s="124"/>
      <c r="G183" s="124"/>
      <c r="H183" s="124"/>
      <c r="I183" s="124"/>
      <c r="J183" s="124"/>
      <c r="K183" s="124"/>
      <c r="L183" s="124"/>
      <c r="M183" s="169"/>
      <c r="N183" s="170"/>
      <c r="O183" s="170"/>
      <c r="P183" s="170"/>
      <c r="Y183" s="348" t="s">
        <v>389</v>
      </c>
      <c r="Z183" s="348"/>
      <c r="AA183" s="348"/>
      <c r="AB183" s="348"/>
      <c r="AC183" s="4">
        <v>20</v>
      </c>
      <c r="AD183" s="4">
        <v>5.0999999999999996</v>
      </c>
      <c r="AE183" s="39">
        <f t="shared" si="2"/>
        <v>5100</v>
      </c>
      <c r="AF183" s="4">
        <f t="shared" si="10"/>
        <v>20000000</v>
      </c>
      <c r="AG183" s="4">
        <f t="shared" si="11"/>
        <v>20005100</v>
      </c>
      <c r="AH183" s="96">
        <f t="shared" si="5"/>
        <v>20002600</v>
      </c>
      <c r="AI183" s="102">
        <f t="shared" si="6"/>
        <v>20002600</v>
      </c>
      <c r="AJ183" s="4">
        <f t="shared" si="7"/>
        <v>0</v>
      </c>
      <c r="AK183" s="4">
        <f t="shared" si="12"/>
        <v>0</v>
      </c>
    </row>
    <row r="184" spans="1:37" customFormat="1" ht="10.5" customHeight="1" x14ac:dyDescent="0.2">
      <c r="A184" s="39"/>
      <c r="B184" s="124"/>
      <c r="C184" s="124"/>
      <c r="D184" s="124"/>
      <c r="E184" s="124"/>
      <c r="F184" s="124"/>
      <c r="G184" s="124"/>
      <c r="H184" s="124"/>
      <c r="I184" s="124"/>
      <c r="J184" s="124"/>
      <c r="K184" s="124"/>
      <c r="L184" s="124"/>
      <c r="M184" s="169"/>
      <c r="N184" s="170"/>
      <c r="O184" s="170"/>
      <c r="P184" s="170"/>
      <c r="Y184" s="348" t="s">
        <v>390</v>
      </c>
      <c r="Z184" s="348"/>
      <c r="AA184" s="348"/>
      <c r="AB184" s="348"/>
      <c r="AC184" s="4">
        <v>20</v>
      </c>
      <c r="AD184" s="4">
        <v>7</v>
      </c>
      <c r="AE184" s="39">
        <f t="shared" si="2"/>
        <v>7000</v>
      </c>
      <c r="AF184" s="4">
        <f t="shared" si="10"/>
        <v>20000000</v>
      </c>
      <c r="AG184" s="4">
        <f t="shared" si="11"/>
        <v>20007000</v>
      </c>
      <c r="AH184" s="96">
        <f t="shared" si="5"/>
        <v>20004500</v>
      </c>
      <c r="AI184" s="102">
        <f t="shared" si="6"/>
        <v>20004500</v>
      </c>
      <c r="AJ184" s="4">
        <f t="shared" si="7"/>
        <v>0</v>
      </c>
      <c r="AK184" s="4">
        <f t="shared" si="12"/>
        <v>0</v>
      </c>
    </row>
    <row r="185" spans="1:37" customFormat="1" ht="10.5" customHeight="1" x14ac:dyDescent="0.2">
      <c r="A185" s="39"/>
      <c r="B185" s="124"/>
      <c r="C185" s="124"/>
      <c r="D185" s="124"/>
      <c r="E185" s="124"/>
      <c r="F185" s="124"/>
      <c r="G185" s="124"/>
      <c r="H185" s="124"/>
      <c r="I185" s="124"/>
      <c r="J185" s="124"/>
      <c r="K185" s="124"/>
      <c r="L185" s="124"/>
      <c r="M185" s="169"/>
      <c r="N185" s="170"/>
      <c r="O185" s="170"/>
      <c r="P185" s="170"/>
      <c r="Y185" s="348" t="s">
        <v>391</v>
      </c>
      <c r="Z185" s="348"/>
      <c r="AA185" s="348"/>
      <c r="AB185" s="348"/>
      <c r="AC185" s="4">
        <v>20</v>
      </c>
      <c r="AD185" s="4">
        <v>7.4</v>
      </c>
      <c r="AE185" s="39">
        <f t="shared" si="2"/>
        <v>7400</v>
      </c>
      <c r="AF185" s="4">
        <f t="shared" si="10"/>
        <v>20000000</v>
      </c>
      <c r="AG185" s="4">
        <f t="shared" si="11"/>
        <v>20007400</v>
      </c>
      <c r="AH185" s="96">
        <f t="shared" si="5"/>
        <v>20004900</v>
      </c>
      <c r="AI185" s="102">
        <f t="shared" si="6"/>
        <v>20004900</v>
      </c>
      <c r="AJ185" s="4">
        <f t="shared" si="7"/>
        <v>0</v>
      </c>
      <c r="AK185" s="4">
        <f t="shared" si="12"/>
        <v>0</v>
      </c>
    </row>
    <row r="186" spans="1:37" customFormat="1" ht="10.5" customHeight="1" x14ac:dyDescent="0.2">
      <c r="A186" s="39"/>
      <c r="B186" s="124"/>
      <c r="C186" s="124"/>
      <c r="D186" s="124"/>
      <c r="E186" s="124"/>
      <c r="F186" s="124"/>
      <c r="G186" s="124"/>
      <c r="H186" s="124"/>
      <c r="I186" s="124"/>
      <c r="J186" s="124"/>
      <c r="K186" s="124"/>
      <c r="L186" s="124"/>
      <c r="M186" s="169"/>
      <c r="N186" s="170"/>
      <c r="O186" s="170"/>
      <c r="P186" s="170"/>
      <c r="Y186" s="348" t="s">
        <v>392</v>
      </c>
      <c r="Z186" s="348"/>
      <c r="AA186" s="348"/>
      <c r="AB186" s="348"/>
      <c r="AC186" s="4">
        <v>20</v>
      </c>
      <c r="AD186" s="4">
        <v>9.8000000000000007</v>
      </c>
      <c r="AE186" s="39">
        <f t="shared" si="2"/>
        <v>9800</v>
      </c>
      <c r="AF186" s="4">
        <f t="shared" si="10"/>
        <v>20000000</v>
      </c>
      <c r="AG186" s="4">
        <f t="shared" si="11"/>
        <v>20009800</v>
      </c>
      <c r="AH186" s="96">
        <f t="shared" si="5"/>
        <v>20007300</v>
      </c>
      <c r="AI186" s="102">
        <f t="shared" si="6"/>
        <v>20007300</v>
      </c>
      <c r="AJ186" s="4">
        <f t="shared" si="7"/>
        <v>0</v>
      </c>
      <c r="AK186" s="4">
        <f t="shared" si="12"/>
        <v>0</v>
      </c>
    </row>
    <row r="187" spans="1:37" customFormat="1" ht="10.5" customHeight="1" x14ac:dyDescent="0.2">
      <c r="A187" s="39"/>
      <c r="B187" s="124"/>
      <c r="C187" s="124"/>
      <c r="D187" s="124"/>
      <c r="E187" s="124"/>
      <c r="F187" s="124"/>
      <c r="G187" s="124"/>
      <c r="H187" s="124"/>
      <c r="I187" s="124"/>
      <c r="J187" s="124"/>
      <c r="K187" s="124"/>
      <c r="L187" s="124"/>
      <c r="M187" s="169"/>
      <c r="N187" s="170"/>
      <c r="O187" s="170"/>
      <c r="P187" s="170"/>
      <c r="Y187" s="348" t="s">
        <v>465</v>
      </c>
      <c r="Z187" s="348"/>
      <c r="AA187" s="348"/>
      <c r="AB187" s="348"/>
      <c r="AC187" s="4">
        <v>20</v>
      </c>
      <c r="AD187" s="4">
        <v>12.4</v>
      </c>
      <c r="AE187" s="39">
        <f t="shared" si="2"/>
        <v>12400</v>
      </c>
      <c r="AF187" s="4">
        <f t="shared" si="10"/>
        <v>20000000</v>
      </c>
      <c r="AG187" s="4">
        <f t="shared" si="11"/>
        <v>20012400</v>
      </c>
      <c r="AH187" s="96">
        <f t="shared" si="5"/>
        <v>20009900</v>
      </c>
      <c r="AI187" s="102">
        <f t="shared" si="6"/>
        <v>20009900</v>
      </c>
      <c r="AJ187" s="4">
        <f t="shared" si="7"/>
        <v>0</v>
      </c>
      <c r="AK187" s="4">
        <f t="shared" si="12"/>
        <v>0</v>
      </c>
    </row>
    <row r="188" spans="1:37" customFormat="1" ht="10.5" customHeight="1" x14ac:dyDescent="0.2">
      <c r="A188" s="39"/>
      <c r="B188" s="124"/>
      <c r="C188" s="124"/>
      <c r="D188" s="124"/>
      <c r="E188" s="124"/>
      <c r="F188" s="124"/>
      <c r="G188" s="124"/>
      <c r="H188" s="124"/>
      <c r="I188" s="124"/>
      <c r="J188" s="124"/>
      <c r="K188" s="124"/>
      <c r="L188" s="124"/>
      <c r="M188" s="169"/>
      <c r="N188" s="170"/>
      <c r="O188" s="170"/>
      <c r="P188" s="170"/>
      <c r="Y188" s="348" t="s">
        <v>466</v>
      </c>
      <c r="Z188" s="348"/>
      <c r="AA188" s="348"/>
      <c r="AB188" s="348"/>
      <c r="AC188" s="4">
        <v>20</v>
      </c>
      <c r="AD188" s="4">
        <v>14.6</v>
      </c>
      <c r="AE188" s="39">
        <f t="shared" si="2"/>
        <v>14600</v>
      </c>
      <c r="AF188" s="4">
        <f t="shared" si="10"/>
        <v>20000000</v>
      </c>
      <c r="AG188" s="4">
        <f t="shared" si="11"/>
        <v>20014600</v>
      </c>
      <c r="AH188" s="96">
        <f t="shared" si="5"/>
        <v>20012100</v>
      </c>
      <c r="AI188" s="102">
        <f t="shared" si="6"/>
        <v>20012100</v>
      </c>
      <c r="AJ188" s="4">
        <f t="shared" si="7"/>
        <v>0</v>
      </c>
      <c r="AK188" s="4">
        <f t="shared" si="12"/>
        <v>0</v>
      </c>
    </row>
    <row r="189" spans="1:37" customFormat="1" ht="10.5" customHeight="1" x14ac:dyDescent="0.2">
      <c r="A189" s="39"/>
      <c r="B189" s="124"/>
      <c r="C189" s="124"/>
      <c r="D189" s="124"/>
      <c r="E189" s="124"/>
      <c r="F189" s="124"/>
      <c r="G189" s="124"/>
      <c r="H189" s="124"/>
      <c r="I189" s="124"/>
      <c r="J189" s="124"/>
      <c r="K189" s="124"/>
      <c r="L189" s="124"/>
      <c r="M189" s="169"/>
      <c r="N189" s="170"/>
      <c r="O189" s="170"/>
      <c r="P189" s="170"/>
      <c r="Y189" s="348" t="s">
        <v>467</v>
      </c>
      <c r="Z189" s="348"/>
      <c r="AA189" s="348"/>
      <c r="AB189" s="348"/>
      <c r="AC189" s="4">
        <v>20</v>
      </c>
      <c r="AD189" s="4">
        <v>20.3</v>
      </c>
      <c r="AE189" s="4">
        <f t="shared" si="2"/>
        <v>20300</v>
      </c>
      <c r="AF189" s="4">
        <f t="shared" si="10"/>
        <v>20000000</v>
      </c>
      <c r="AG189" s="4">
        <f t="shared" si="11"/>
        <v>20020300</v>
      </c>
      <c r="AH189" s="96">
        <f t="shared" si="5"/>
        <v>20017800</v>
      </c>
      <c r="AI189" s="102">
        <f t="shared" si="6"/>
        <v>20017800</v>
      </c>
      <c r="AJ189" s="4">
        <f t="shared" si="7"/>
        <v>0</v>
      </c>
      <c r="AK189" s="4">
        <f t="shared" si="12"/>
        <v>0</v>
      </c>
    </row>
    <row r="190" spans="1:37" customFormat="1" ht="10.5" customHeight="1" x14ac:dyDescent="0.2">
      <c r="A190" s="39"/>
      <c r="B190" s="124"/>
      <c r="C190" s="124"/>
      <c r="D190" s="124"/>
      <c r="E190" s="124"/>
      <c r="F190" s="124"/>
      <c r="G190" s="124"/>
      <c r="H190" s="124"/>
      <c r="I190" s="124"/>
      <c r="J190" s="124"/>
      <c r="K190" s="124"/>
      <c r="L190" s="124"/>
      <c r="M190" s="169"/>
      <c r="N190" s="170"/>
      <c r="O190" s="170"/>
      <c r="P190" s="170"/>
      <c r="Y190" s="348" t="s">
        <v>468</v>
      </c>
      <c r="Z190" s="348"/>
      <c r="AA190" s="348"/>
      <c r="AB190" s="348"/>
      <c r="AC190" s="4">
        <v>20</v>
      </c>
      <c r="AD190" s="4">
        <v>24</v>
      </c>
      <c r="AE190" s="4">
        <f t="shared" si="2"/>
        <v>24000</v>
      </c>
      <c r="AF190" s="4">
        <f>AC190*1000000</f>
        <v>20000000</v>
      </c>
      <c r="AG190" s="4">
        <f>AE190+AF190</f>
        <v>20024000</v>
      </c>
      <c r="AH190" s="96">
        <f t="shared" si="5"/>
        <v>20021500</v>
      </c>
      <c r="AI190" s="102">
        <f t="shared" si="6"/>
        <v>20021500</v>
      </c>
      <c r="AJ190" s="4">
        <f t="shared" si="7"/>
        <v>0</v>
      </c>
      <c r="AK190" s="4">
        <f>IF(AJ190=1,AD190,0)</f>
        <v>0</v>
      </c>
    </row>
    <row r="191" spans="1:37" customFormat="1" ht="10.5" customHeight="1" x14ac:dyDescent="0.2">
      <c r="A191" s="39"/>
      <c r="B191" s="124"/>
      <c r="C191" s="124"/>
      <c r="D191" s="124"/>
      <c r="E191" s="124"/>
      <c r="F191" s="124"/>
      <c r="G191" s="124"/>
      <c r="H191" s="124"/>
      <c r="I191" s="124"/>
      <c r="J191" s="124"/>
      <c r="K191" s="124"/>
      <c r="L191" s="124"/>
      <c r="M191" s="169"/>
      <c r="N191" s="170"/>
      <c r="O191" s="170"/>
      <c r="P191" s="170"/>
      <c r="Y191" s="348" t="s">
        <v>469</v>
      </c>
      <c r="Z191" s="348"/>
      <c r="AA191" s="348"/>
      <c r="AB191" s="348"/>
      <c r="AC191" s="4">
        <v>20</v>
      </c>
      <c r="AD191" s="4">
        <v>24.3</v>
      </c>
      <c r="AE191" s="4">
        <f t="shared" si="2"/>
        <v>24300</v>
      </c>
      <c r="AF191" s="4">
        <f>AC191*1000000</f>
        <v>20000000</v>
      </c>
      <c r="AG191" s="4">
        <f>AE191+AF191</f>
        <v>20024300</v>
      </c>
      <c r="AH191" s="96">
        <f t="shared" si="5"/>
        <v>20021800</v>
      </c>
      <c r="AI191" s="102">
        <f t="shared" si="6"/>
        <v>20021800</v>
      </c>
      <c r="AJ191" s="4">
        <f t="shared" si="7"/>
        <v>0</v>
      </c>
      <c r="AK191" s="4">
        <f>IF(AJ191=1,AD191,0)</f>
        <v>0</v>
      </c>
    </row>
    <row r="192" spans="1:37" customFormat="1" ht="10.5" customHeight="1" x14ac:dyDescent="0.2">
      <c r="A192" s="39"/>
      <c r="B192" s="124"/>
      <c r="C192" s="124"/>
      <c r="D192" s="124"/>
      <c r="E192" s="124"/>
      <c r="F192" s="124"/>
      <c r="G192" s="124"/>
      <c r="H192" s="124"/>
      <c r="I192" s="124"/>
      <c r="J192" s="124"/>
      <c r="K192" s="124"/>
      <c r="L192" s="124"/>
      <c r="M192" s="169"/>
      <c r="N192" s="170"/>
      <c r="O192" s="170"/>
      <c r="P192" s="170"/>
      <c r="Y192" s="348" t="s">
        <v>470</v>
      </c>
      <c r="Z192" s="348"/>
      <c r="AA192" s="348"/>
      <c r="AB192" s="348"/>
      <c r="AC192" s="4">
        <v>20</v>
      </c>
      <c r="AD192" s="4">
        <v>28.7</v>
      </c>
      <c r="AE192" s="4">
        <f t="shared" ref="AE192:AE252" si="13">AD192*1000</f>
        <v>28700</v>
      </c>
      <c r="AF192" s="4">
        <f>AC192*1000000</f>
        <v>20000000</v>
      </c>
      <c r="AG192" s="4">
        <f>AE192+AF192</f>
        <v>20028700</v>
      </c>
      <c r="AH192" s="96">
        <f t="shared" si="5"/>
        <v>20026200</v>
      </c>
      <c r="AI192" s="102">
        <f t="shared" si="6"/>
        <v>20026200</v>
      </c>
      <c r="AJ192" s="4">
        <f t="shared" si="7"/>
        <v>0</v>
      </c>
      <c r="AK192" s="4">
        <f>IF(AJ192=1,AD192,0)</f>
        <v>0</v>
      </c>
    </row>
    <row r="193" spans="1:37" customFormat="1" ht="10.5" customHeight="1" x14ac:dyDescent="0.2">
      <c r="A193" s="39"/>
      <c r="B193" s="124"/>
      <c r="C193" s="124"/>
      <c r="D193" s="124"/>
      <c r="E193" s="124"/>
      <c r="F193" s="124"/>
      <c r="G193" s="124"/>
      <c r="H193" s="124"/>
      <c r="I193" s="124"/>
      <c r="J193" s="124"/>
      <c r="K193" s="124"/>
      <c r="L193" s="124"/>
      <c r="M193" s="169"/>
      <c r="N193" s="170"/>
      <c r="O193" s="170"/>
      <c r="P193" s="170"/>
      <c r="Y193" s="348" t="s">
        <v>401</v>
      </c>
      <c r="Z193" s="348"/>
      <c r="AA193" s="348"/>
      <c r="AB193" s="348"/>
      <c r="AC193" s="4">
        <v>30</v>
      </c>
      <c r="AD193" s="4">
        <v>0.8</v>
      </c>
      <c r="AE193" s="39">
        <f t="shared" si="13"/>
        <v>800</v>
      </c>
      <c r="AF193" s="4">
        <f t="shared" ref="AF193:AF252" si="14">AC193*1000000</f>
        <v>30000000</v>
      </c>
      <c r="AG193" s="4">
        <f t="shared" ref="AG193:AG252" si="15">AE193+AF193</f>
        <v>30000800</v>
      </c>
      <c r="AH193" s="96">
        <f t="shared" ref="AH193:AH252" si="16">AG193-$R$149</f>
        <v>29998300</v>
      </c>
      <c r="AI193" s="102">
        <f t="shared" ref="AI193:AI252" si="17">IF(AH193&gt;-1,AH193,15000)</f>
        <v>29998300</v>
      </c>
      <c r="AJ193" s="4">
        <f t="shared" ref="AJ193:AJ252" si="18">IF(AI193=$AI$274,1,0)</f>
        <v>0</v>
      </c>
      <c r="AK193" s="4">
        <f t="shared" ref="AK193:AK252" si="19">IF(AJ193=1,AD193,0)</f>
        <v>0</v>
      </c>
    </row>
    <row r="194" spans="1:37" customFormat="1" ht="10.5" customHeight="1" x14ac:dyDescent="0.2">
      <c r="A194" s="39"/>
      <c r="B194" s="124"/>
      <c r="C194" s="124"/>
      <c r="D194" s="124"/>
      <c r="E194" s="124"/>
      <c r="F194" s="124"/>
      <c r="G194" s="124"/>
      <c r="H194" s="124"/>
      <c r="I194" s="124"/>
      <c r="J194" s="124"/>
      <c r="K194" s="124"/>
      <c r="L194" s="124"/>
      <c r="M194" s="169"/>
      <c r="N194" s="170"/>
      <c r="O194" s="170"/>
      <c r="P194" s="170"/>
      <c r="Y194" s="348" t="s">
        <v>393</v>
      </c>
      <c r="Z194" s="348"/>
      <c r="AA194" s="348"/>
      <c r="AB194" s="348"/>
      <c r="AC194" s="4">
        <v>30</v>
      </c>
      <c r="AD194" s="4">
        <v>1.7</v>
      </c>
      <c r="AE194" s="39">
        <f t="shared" si="13"/>
        <v>1700</v>
      </c>
      <c r="AF194" s="4">
        <f t="shared" si="14"/>
        <v>30000000</v>
      </c>
      <c r="AG194" s="4">
        <f t="shared" si="15"/>
        <v>30001700</v>
      </c>
      <c r="AH194" s="96">
        <f t="shared" si="16"/>
        <v>29999200</v>
      </c>
      <c r="AI194" s="102">
        <f t="shared" si="17"/>
        <v>29999200</v>
      </c>
      <c r="AJ194" s="4">
        <f t="shared" si="18"/>
        <v>0</v>
      </c>
      <c r="AK194" s="4">
        <f t="shared" si="19"/>
        <v>0</v>
      </c>
    </row>
    <row r="195" spans="1:37" customFormat="1" ht="10.5" customHeight="1" x14ac:dyDescent="0.2">
      <c r="A195" s="39"/>
      <c r="B195" s="124"/>
      <c r="C195" s="124"/>
      <c r="D195" s="124"/>
      <c r="E195" s="124"/>
      <c r="F195" s="124"/>
      <c r="G195" s="124"/>
      <c r="H195" s="124"/>
      <c r="I195" s="124"/>
      <c r="J195" s="124"/>
      <c r="K195" s="124"/>
      <c r="L195" s="124"/>
      <c r="M195" s="169"/>
      <c r="N195" s="170"/>
      <c r="O195" s="170"/>
      <c r="P195" s="170"/>
      <c r="Y195" s="348" t="s">
        <v>394</v>
      </c>
      <c r="Z195" s="348"/>
      <c r="AA195" s="348"/>
      <c r="AB195" s="348"/>
      <c r="AC195" s="4">
        <v>30</v>
      </c>
      <c r="AD195" s="4">
        <v>2.4</v>
      </c>
      <c r="AE195" s="39">
        <f t="shared" si="13"/>
        <v>2400</v>
      </c>
      <c r="AF195" s="4">
        <f t="shared" si="14"/>
        <v>30000000</v>
      </c>
      <c r="AG195" s="4">
        <f t="shared" si="15"/>
        <v>30002400</v>
      </c>
      <c r="AH195" s="96">
        <f t="shared" si="16"/>
        <v>29999900</v>
      </c>
      <c r="AI195" s="102">
        <f t="shared" si="17"/>
        <v>29999900</v>
      </c>
      <c r="AJ195" s="4">
        <f t="shared" si="18"/>
        <v>0</v>
      </c>
      <c r="AK195" s="4">
        <f t="shared" si="19"/>
        <v>0</v>
      </c>
    </row>
    <row r="196" spans="1:37" customFormat="1" ht="10.5" customHeight="1" x14ac:dyDescent="0.2">
      <c r="A196" s="39"/>
      <c r="B196" s="124"/>
      <c r="C196" s="124"/>
      <c r="D196" s="124"/>
      <c r="E196" s="124"/>
      <c r="F196" s="124"/>
      <c r="G196" s="124"/>
      <c r="H196" s="124"/>
      <c r="I196" s="124"/>
      <c r="J196" s="124"/>
      <c r="K196" s="124"/>
      <c r="L196" s="124"/>
      <c r="M196" s="169"/>
      <c r="N196" s="170"/>
      <c r="O196" s="170"/>
      <c r="P196" s="170"/>
      <c r="Y196" s="348" t="s">
        <v>395</v>
      </c>
      <c r="Z196" s="348"/>
      <c r="AA196" s="348"/>
      <c r="AB196" s="348"/>
      <c r="AC196" s="4">
        <v>30</v>
      </c>
      <c r="AD196" s="4">
        <v>3.7</v>
      </c>
      <c r="AE196" s="39">
        <f t="shared" si="13"/>
        <v>3700</v>
      </c>
      <c r="AF196" s="4">
        <f t="shared" si="14"/>
        <v>30000000</v>
      </c>
      <c r="AG196" s="4">
        <f t="shared" si="15"/>
        <v>30003700</v>
      </c>
      <c r="AH196" s="96">
        <f t="shared" si="16"/>
        <v>30001200</v>
      </c>
      <c r="AI196" s="102">
        <f t="shared" si="17"/>
        <v>30001200</v>
      </c>
      <c r="AJ196" s="4">
        <f t="shared" si="18"/>
        <v>0</v>
      </c>
      <c r="AK196" s="4">
        <f t="shared" si="19"/>
        <v>0</v>
      </c>
    </row>
    <row r="197" spans="1:37" customFormat="1" ht="10.5" customHeight="1" x14ac:dyDescent="0.2">
      <c r="A197" s="39"/>
      <c r="B197" s="124"/>
      <c r="C197" s="124"/>
      <c r="D197" s="124"/>
      <c r="E197" s="124"/>
      <c r="F197" s="124"/>
      <c r="G197" s="124"/>
      <c r="H197" s="124"/>
      <c r="I197" s="124"/>
      <c r="J197" s="124"/>
      <c r="K197" s="124"/>
      <c r="L197" s="124"/>
      <c r="M197" s="169"/>
      <c r="N197" s="170"/>
      <c r="O197" s="170"/>
      <c r="P197" s="170"/>
      <c r="Y197" s="348" t="s">
        <v>396</v>
      </c>
      <c r="Z197" s="348"/>
      <c r="AA197" s="348"/>
      <c r="AB197" s="348"/>
      <c r="AC197" s="4">
        <v>30</v>
      </c>
      <c r="AD197" s="4">
        <v>4</v>
      </c>
      <c r="AE197" s="39">
        <f t="shared" si="13"/>
        <v>4000</v>
      </c>
      <c r="AF197" s="4">
        <f t="shared" si="14"/>
        <v>30000000</v>
      </c>
      <c r="AG197" s="4">
        <f t="shared" si="15"/>
        <v>30004000</v>
      </c>
      <c r="AH197" s="96">
        <f t="shared" si="16"/>
        <v>30001500</v>
      </c>
      <c r="AI197" s="102">
        <f t="shared" si="17"/>
        <v>30001500</v>
      </c>
      <c r="AJ197" s="4">
        <f t="shared" si="18"/>
        <v>0</v>
      </c>
      <c r="AK197" s="4">
        <f t="shared" si="19"/>
        <v>0</v>
      </c>
    </row>
    <row r="198" spans="1:37" customFormat="1" ht="10.5" customHeight="1" x14ac:dyDescent="0.2">
      <c r="A198" s="39"/>
      <c r="B198" s="124"/>
      <c r="C198" s="124"/>
      <c r="D198" s="124"/>
      <c r="E198" s="124"/>
      <c r="F198" s="124"/>
      <c r="G198" s="124"/>
      <c r="H198" s="124"/>
      <c r="I198" s="124"/>
      <c r="J198" s="124"/>
      <c r="K198" s="124"/>
      <c r="L198" s="124"/>
      <c r="M198" s="169"/>
      <c r="N198" s="170"/>
      <c r="O198" s="170"/>
      <c r="P198" s="170"/>
      <c r="Y198" s="348" t="s">
        <v>397</v>
      </c>
      <c r="Z198" s="348"/>
      <c r="AA198" s="348"/>
      <c r="AB198" s="348"/>
      <c r="AC198" s="4">
        <v>30</v>
      </c>
      <c r="AD198" s="4">
        <v>5.2</v>
      </c>
      <c r="AE198" s="39">
        <f t="shared" si="13"/>
        <v>5200</v>
      </c>
      <c r="AF198" s="4">
        <f t="shared" si="14"/>
        <v>30000000</v>
      </c>
      <c r="AG198" s="4">
        <f t="shared" si="15"/>
        <v>30005200</v>
      </c>
      <c r="AH198" s="96">
        <f t="shared" si="16"/>
        <v>30002700</v>
      </c>
      <c r="AI198" s="102">
        <f t="shared" si="17"/>
        <v>30002700</v>
      </c>
      <c r="AJ198" s="4">
        <f t="shared" si="18"/>
        <v>0</v>
      </c>
      <c r="AK198" s="4">
        <f t="shared" si="19"/>
        <v>0</v>
      </c>
    </row>
    <row r="199" spans="1:37" customFormat="1" ht="10.5" customHeight="1" x14ac:dyDescent="0.2">
      <c r="A199" s="39"/>
      <c r="B199" s="124"/>
      <c r="C199" s="124"/>
      <c r="D199" s="124"/>
      <c r="E199" s="124"/>
      <c r="F199" s="124"/>
      <c r="G199" s="124"/>
      <c r="H199" s="124"/>
      <c r="I199" s="124"/>
      <c r="J199" s="124"/>
      <c r="K199" s="124"/>
      <c r="L199" s="124"/>
      <c r="M199" s="169"/>
      <c r="N199" s="170"/>
      <c r="O199" s="170"/>
      <c r="P199" s="170"/>
      <c r="Y199" s="348" t="s">
        <v>398</v>
      </c>
      <c r="Z199" s="348"/>
      <c r="AA199" s="348"/>
      <c r="AB199" s="348"/>
      <c r="AC199" s="4">
        <v>30</v>
      </c>
      <c r="AD199" s="4">
        <v>6.2</v>
      </c>
      <c r="AE199" s="39">
        <f t="shared" si="13"/>
        <v>6200</v>
      </c>
      <c r="AF199" s="4">
        <f t="shared" si="14"/>
        <v>30000000</v>
      </c>
      <c r="AG199" s="4">
        <f t="shared" si="15"/>
        <v>30006200</v>
      </c>
      <c r="AH199" s="96">
        <f t="shared" si="16"/>
        <v>30003700</v>
      </c>
      <c r="AI199" s="102">
        <f t="shared" si="17"/>
        <v>30003700</v>
      </c>
      <c r="AJ199" s="4">
        <f t="shared" si="18"/>
        <v>0</v>
      </c>
      <c r="AK199" s="4">
        <f t="shared" si="19"/>
        <v>0</v>
      </c>
    </row>
    <row r="200" spans="1:37" customFormat="1" ht="10.5" customHeight="1" x14ac:dyDescent="0.2">
      <c r="A200" s="39"/>
      <c r="B200" s="124"/>
      <c r="C200" s="124"/>
      <c r="D200" s="124"/>
      <c r="E200" s="124"/>
      <c r="F200" s="124"/>
      <c r="G200" s="124"/>
      <c r="H200" s="124"/>
      <c r="I200" s="124"/>
      <c r="J200" s="124"/>
      <c r="K200" s="124"/>
      <c r="L200" s="124"/>
      <c r="M200" s="169"/>
      <c r="N200" s="170"/>
      <c r="O200" s="170"/>
      <c r="P200" s="170"/>
      <c r="Y200" s="348" t="s">
        <v>399</v>
      </c>
      <c r="Z200" s="348"/>
      <c r="AA200" s="348"/>
      <c r="AB200" s="348"/>
      <c r="AC200" s="4">
        <v>30</v>
      </c>
      <c r="AD200" s="4">
        <v>8.6</v>
      </c>
      <c r="AE200" s="39">
        <f t="shared" si="13"/>
        <v>8600</v>
      </c>
      <c r="AF200" s="4">
        <f t="shared" si="14"/>
        <v>30000000</v>
      </c>
      <c r="AG200" s="4">
        <f t="shared" si="15"/>
        <v>30008600</v>
      </c>
      <c r="AH200" s="96">
        <f t="shared" si="16"/>
        <v>30006100</v>
      </c>
      <c r="AI200" s="102">
        <f t="shared" si="17"/>
        <v>30006100</v>
      </c>
      <c r="AJ200" s="4">
        <f t="shared" si="18"/>
        <v>0</v>
      </c>
      <c r="AK200" s="4">
        <f t="shared" si="19"/>
        <v>0</v>
      </c>
    </row>
    <row r="201" spans="1:37" customFormat="1" ht="10.5" customHeight="1" x14ac:dyDescent="0.2">
      <c r="A201" s="39"/>
      <c r="B201" s="124"/>
      <c r="C201" s="124"/>
      <c r="D201" s="124"/>
      <c r="E201" s="124"/>
      <c r="F201" s="124"/>
      <c r="G201" s="124"/>
      <c r="H201" s="124"/>
      <c r="I201" s="124"/>
      <c r="J201" s="124"/>
      <c r="K201" s="124"/>
      <c r="L201" s="124"/>
      <c r="M201" s="169"/>
      <c r="N201" s="170"/>
      <c r="O201" s="170"/>
      <c r="P201" s="170"/>
      <c r="Y201" s="348" t="s">
        <v>471</v>
      </c>
      <c r="Z201" s="348"/>
      <c r="AA201" s="348"/>
      <c r="AB201" s="348"/>
      <c r="AC201" s="4">
        <v>30</v>
      </c>
      <c r="AD201" s="4">
        <v>10.5</v>
      </c>
      <c r="AE201" s="39">
        <f t="shared" si="13"/>
        <v>10500</v>
      </c>
      <c r="AF201" s="4">
        <f t="shared" si="14"/>
        <v>30000000</v>
      </c>
      <c r="AG201" s="4">
        <f t="shared" si="15"/>
        <v>30010500</v>
      </c>
      <c r="AH201" s="96">
        <f t="shared" si="16"/>
        <v>30008000</v>
      </c>
      <c r="AI201" s="102">
        <f t="shared" si="17"/>
        <v>30008000</v>
      </c>
      <c r="AJ201" s="4">
        <f t="shared" si="18"/>
        <v>0</v>
      </c>
      <c r="AK201" s="4">
        <f t="shared" si="19"/>
        <v>0</v>
      </c>
    </row>
    <row r="202" spans="1:37" customFormat="1" ht="10.5" customHeight="1" x14ac:dyDescent="0.2">
      <c r="A202" s="39"/>
      <c r="B202" s="124"/>
      <c r="C202" s="124"/>
      <c r="D202" s="124"/>
      <c r="E202" s="124"/>
      <c r="F202" s="124"/>
      <c r="G202" s="124"/>
      <c r="H202" s="124"/>
      <c r="I202" s="124"/>
      <c r="J202" s="124"/>
      <c r="K202" s="124"/>
      <c r="L202" s="124"/>
      <c r="M202" s="169"/>
      <c r="N202" s="170"/>
      <c r="O202" s="170"/>
      <c r="P202" s="170"/>
      <c r="Y202" s="348" t="s">
        <v>400</v>
      </c>
      <c r="Z202" s="348"/>
      <c r="AA202" s="348"/>
      <c r="AB202" s="348"/>
      <c r="AC202" s="4">
        <v>30</v>
      </c>
      <c r="AD202" s="4">
        <v>10.9</v>
      </c>
      <c r="AE202" s="39">
        <f t="shared" si="13"/>
        <v>10900</v>
      </c>
      <c r="AF202" s="4">
        <f t="shared" si="14"/>
        <v>30000000</v>
      </c>
      <c r="AG202" s="4">
        <f t="shared" si="15"/>
        <v>30010900</v>
      </c>
      <c r="AH202" s="96">
        <f t="shared" si="16"/>
        <v>30008400</v>
      </c>
      <c r="AI202" s="102">
        <f t="shared" si="17"/>
        <v>30008400</v>
      </c>
      <c r="AJ202" s="4">
        <f t="shared" si="18"/>
        <v>0</v>
      </c>
      <c r="AK202" s="4">
        <f t="shared" si="19"/>
        <v>0</v>
      </c>
    </row>
    <row r="203" spans="1:37" customFormat="1" ht="10.5" customHeight="1" x14ac:dyDescent="0.2">
      <c r="A203" s="39"/>
      <c r="B203" s="124"/>
      <c r="C203" s="124"/>
      <c r="D203" s="124"/>
      <c r="E203" s="124"/>
      <c r="F203" s="124"/>
      <c r="G203" s="124"/>
      <c r="H203" s="124"/>
      <c r="I203" s="124"/>
      <c r="J203" s="124"/>
      <c r="K203" s="124"/>
      <c r="L203" s="124"/>
      <c r="M203" s="169"/>
      <c r="N203" s="170"/>
      <c r="O203" s="170"/>
      <c r="P203" s="170"/>
      <c r="Y203" s="348" t="s">
        <v>472</v>
      </c>
      <c r="Z203" s="348"/>
      <c r="AA203" s="348"/>
      <c r="AB203" s="348"/>
      <c r="AC203" s="4">
        <v>30</v>
      </c>
      <c r="AD203" s="4">
        <v>12.8</v>
      </c>
      <c r="AE203" s="39">
        <f t="shared" si="13"/>
        <v>12800</v>
      </c>
      <c r="AF203" s="4">
        <f t="shared" si="14"/>
        <v>30000000</v>
      </c>
      <c r="AG203" s="4">
        <f t="shared" si="15"/>
        <v>30012800</v>
      </c>
      <c r="AH203" s="96">
        <f t="shared" si="16"/>
        <v>30010300</v>
      </c>
      <c r="AI203" s="102">
        <f t="shared" si="17"/>
        <v>30010300</v>
      </c>
      <c r="AJ203" s="4">
        <f t="shared" si="18"/>
        <v>0</v>
      </c>
      <c r="AK203" s="4">
        <f t="shared" si="19"/>
        <v>0</v>
      </c>
    </row>
    <row r="204" spans="1:37" customFormat="1" ht="10.5" customHeight="1" x14ac:dyDescent="0.2">
      <c r="A204" s="39"/>
      <c r="B204" s="124"/>
      <c r="C204" s="124"/>
      <c r="D204" s="124"/>
      <c r="E204" s="124"/>
      <c r="F204" s="124"/>
      <c r="G204" s="124"/>
      <c r="H204" s="124"/>
      <c r="I204" s="124"/>
      <c r="J204" s="124"/>
      <c r="K204" s="124"/>
      <c r="L204" s="124"/>
      <c r="M204" s="169"/>
      <c r="N204" s="170"/>
      <c r="O204" s="170"/>
      <c r="P204" s="170"/>
      <c r="Y204" s="348" t="s">
        <v>473</v>
      </c>
      <c r="Z204" s="348"/>
      <c r="AA204" s="348"/>
      <c r="AB204" s="348"/>
      <c r="AC204" s="4">
        <v>30</v>
      </c>
      <c r="AD204" s="4">
        <v>17.2</v>
      </c>
      <c r="AE204" s="39">
        <f t="shared" si="13"/>
        <v>17200</v>
      </c>
      <c r="AF204" s="4">
        <f t="shared" si="14"/>
        <v>30000000</v>
      </c>
      <c r="AG204" s="4">
        <f t="shared" si="15"/>
        <v>30017200</v>
      </c>
      <c r="AH204" s="96">
        <f t="shared" si="16"/>
        <v>30014700</v>
      </c>
      <c r="AI204" s="102">
        <f t="shared" si="17"/>
        <v>30014700</v>
      </c>
      <c r="AJ204" s="4">
        <f t="shared" si="18"/>
        <v>0</v>
      </c>
      <c r="AK204" s="4">
        <f t="shared" si="19"/>
        <v>0</v>
      </c>
    </row>
    <row r="205" spans="1:37" customFormat="1" ht="10.5" customHeight="1" x14ac:dyDescent="0.2">
      <c r="A205" s="39"/>
      <c r="B205" s="124"/>
      <c r="C205" s="124"/>
      <c r="D205" s="124"/>
      <c r="E205" s="124"/>
      <c r="F205" s="124"/>
      <c r="G205" s="124"/>
      <c r="H205" s="124"/>
      <c r="I205" s="124"/>
      <c r="J205" s="124"/>
      <c r="K205" s="124"/>
      <c r="L205" s="124"/>
      <c r="M205" s="169"/>
      <c r="N205" s="170"/>
      <c r="O205" s="170"/>
      <c r="P205" s="170"/>
      <c r="Y205" s="348" t="s">
        <v>474</v>
      </c>
      <c r="Z205" s="348"/>
      <c r="AA205" s="348"/>
      <c r="AB205" s="348"/>
      <c r="AC205" s="4">
        <v>30</v>
      </c>
      <c r="AD205" s="4">
        <v>20.6</v>
      </c>
      <c r="AE205" s="39">
        <f t="shared" si="13"/>
        <v>20600</v>
      </c>
      <c r="AF205" s="4">
        <f t="shared" si="14"/>
        <v>30000000</v>
      </c>
      <c r="AG205" s="4">
        <f t="shared" si="15"/>
        <v>30020600</v>
      </c>
      <c r="AH205" s="96">
        <f t="shared" si="16"/>
        <v>30018100</v>
      </c>
      <c r="AI205" s="102">
        <f t="shared" si="17"/>
        <v>30018100</v>
      </c>
      <c r="AJ205" s="4">
        <f t="shared" si="18"/>
        <v>0</v>
      </c>
      <c r="AK205" s="4">
        <f t="shared" si="19"/>
        <v>0</v>
      </c>
    </row>
    <row r="206" spans="1:37" customFormat="1" ht="10.5" customHeight="1" x14ac:dyDescent="0.2">
      <c r="A206" s="39"/>
      <c r="B206" s="124"/>
      <c r="C206" s="124"/>
      <c r="D206" s="124"/>
      <c r="E206" s="124"/>
      <c r="F206" s="124"/>
      <c r="G206" s="124"/>
      <c r="H206" s="124"/>
      <c r="I206" s="124"/>
      <c r="J206" s="124"/>
      <c r="K206" s="124"/>
      <c r="L206" s="124"/>
      <c r="M206" s="169"/>
      <c r="N206" s="170"/>
      <c r="O206" s="170"/>
      <c r="P206" s="170"/>
      <c r="Y206" s="348" t="s">
        <v>475</v>
      </c>
      <c r="Z206" s="348"/>
      <c r="AA206" s="348"/>
      <c r="AB206" s="348"/>
      <c r="AC206" s="4">
        <v>30</v>
      </c>
      <c r="AD206" s="4">
        <v>20.9</v>
      </c>
      <c r="AE206" s="39">
        <f t="shared" si="13"/>
        <v>20900</v>
      </c>
      <c r="AF206" s="4">
        <f t="shared" si="14"/>
        <v>30000000</v>
      </c>
      <c r="AG206" s="4">
        <f t="shared" si="15"/>
        <v>30020900</v>
      </c>
      <c r="AH206" s="96">
        <f t="shared" si="16"/>
        <v>30018400</v>
      </c>
      <c r="AI206" s="102">
        <f t="shared" si="17"/>
        <v>30018400</v>
      </c>
      <c r="AJ206" s="4">
        <f t="shared" si="18"/>
        <v>0</v>
      </c>
      <c r="AK206" s="4">
        <f t="shared" si="19"/>
        <v>0</v>
      </c>
    </row>
    <row r="207" spans="1:37" customFormat="1" ht="10.5" customHeight="1" x14ac:dyDescent="0.2">
      <c r="A207" s="39"/>
      <c r="B207" s="124"/>
      <c r="C207" s="124"/>
      <c r="D207" s="124"/>
      <c r="E207" s="124"/>
      <c r="F207" s="124"/>
      <c r="G207" s="124"/>
      <c r="H207" s="124"/>
      <c r="I207" s="124"/>
      <c r="J207" s="124"/>
      <c r="K207" s="124"/>
      <c r="L207" s="124"/>
      <c r="M207" s="169"/>
      <c r="N207" s="170"/>
      <c r="O207" s="170"/>
      <c r="P207" s="170"/>
      <c r="Y207" s="348" t="s">
        <v>476</v>
      </c>
      <c r="Z207" s="348"/>
      <c r="AA207" s="348"/>
      <c r="AB207" s="348"/>
      <c r="AC207" s="4">
        <v>30</v>
      </c>
      <c r="AD207" s="4">
        <v>25</v>
      </c>
      <c r="AE207" s="39">
        <f t="shared" si="13"/>
        <v>25000</v>
      </c>
      <c r="AF207" s="4">
        <f t="shared" si="14"/>
        <v>30000000</v>
      </c>
      <c r="AG207" s="4">
        <f t="shared" si="15"/>
        <v>30025000</v>
      </c>
      <c r="AH207" s="96">
        <f t="shared" si="16"/>
        <v>30022500</v>
      </c>
      <c r="AI207" s="102">
        <f t="shared" si="17"/>
        <v>30022500</v>
      </c>
      <c r="AJ207" s="4">
        <f t="shared" si="18"/>
        <v>0</v>
      </c>
      <c r="AK207" s="4">
        <f t="shared" si="19"/>
        <v>0</v>
      </c>
    </row>
    <row r="208" spans="1:37" customFormat="1" ht="10.5" customHeight="1" x14ac:dyDescent="0.2">
      <c r="A208" s="39"/>
      <c r="B208" s="124"/>
      <c r="C208" s="124"/>
      <c r="D208" s="124"/>
      <c r="E208" s="124"/>
      <c r="F208" s="124"/>
      <c r="G208" s="124"/>
      <c r="H208" s="124"/>
      <c r="I208" s="124"/>
      <c r="J208" s="124"/>
      <c r="K208" s="124"/>
      <c r="L208" s="124"/>
      <c r="M208" s="169"/>
      <c r="N208" s="170"/>
      <c r="O208" s="170"/>
      <c r="P208" s="170"/>
      <c r="Y208" s="348" t="s">
        <v>403</v>
      </c>
      <c r="Z208" s="348"/>
      <c r="AA208" s="348"/>
      <c r="AB208" s="348"/>
      <c r="AC208" s="4">
        <v>40</v>
      </c>
      <c r="AD208" s="4">
        <v>1.3</v>
      </c>
      <c r="AE208" s="39">
        <f>AD208*1000</f>
        <v>1300</v>
      </c>
      <c r="AF208" s="4">
        <f t="shared" si="14"/>
        <v>40000000</v>
      </c>
      <c r="AG208" s="4">
        <f t="shared" si="15"/>
        <v>40001300</v>
      </c>
      <c r="AH208" s="96">
        <f t="shared" si="16"/>
        <v>39998800</v>
      </c>
      <c r="AI208" s="102">
        <f>IF(AH208&gt;-1,AH208,15000)</f>
        <v>39998800</v>
      </c>
      <c r="AJ208" s="4">
        <f t="shared" si="18"/>
        <v>0</v>
      </c>
      <c r="AK208" s="4">
        <f t="shared" si="19"/>
        <v>0</v>
      </c>
    </row>
    <row r="209" spans="1:37" customFormat="1" ht="10.5" customHeight="1" x14ac:dyDescent="0.2">
      <c r="A209" s="39"/>
      <c r="B209" s="124"/>
      <c r="C209" s="124"/>
      <c r="D209" s="124"/>
      <c r="E209" s="124"/>
      <c r="F209" s="124"/>
      <c r="G209" s="124"/>
      <c r="H209" s="124"/>
      <c r="I209" s="124"/>
      <c r="J209" s="124"/>
      <c r="K209" s="124"/>
      <c r="L209" s="124"/>
      <c r="M209" s="169"/>
      <c r="N209" s="170"/>
      <c r="O209" s="170"/>
      <c r="P209" s="170"/>
      <c r="Y209" s="348" t="s">
        <v>404</v>
      </c>
      <c r="Z209" s="348"/>
      <c r="AA209" s="348"/>
      <c r="AB209" s="348"/>
      <c r="AC209" s="4">
        <v>40</v>
      </c>
      <c r="AD209" s="4">
        <v>3.7</v>
      </c>
      <c r="AE209" s="39">
        <f>AD209*1000</f>
        <v>3700</v>
      </c>
      <c r="AF209" s="4">
        <f t="shared" si="14"/>
        <v>40000000</v>
      </c>
      <c r="AG209" s="4">
        <f t="shared" si="15"/>
        <v>40003700</v>
      </c>
      <c r="AH209" s="96">
        <f t="shared" si="16"/>
        <v>40001200</v>
      </c>
      <c r="AI209" s="102">
        <f>IF(AH209&gt;-1,AH209,15000)</f>
        <v>40001200</v>
      </c>
      <c r="AJ209" s="4">
        <f t="shared" si="18"/>
        <v>0</v>
      </c>
      <c r="AK209" s="4">
        <f t="shared" si="19"/>
        <v>0</v>
      </c>
    </row>
    <row r="210" spans="1:37" customFormat="1" ht="10.5" customHeight="1" x14ac:dyDescent="0.2">
      <c r="A210" s="39"/>
      <c r="B210" s="124"/>
      <c r="C210" s="124"/>
      <c r="D210" s="124"/>
      <c r="E210" s="124"/>
      <c r="F210" s="124"/>
      <c r="G210" s="124"/>
      <c r="H210" s="124"/>
      <c r="I210" s="124"/>
      <c r="J210" s="124"/>
      <c r="K210" s="124"/>
      <c r="L210" s="124"/>
      <c r="M210" s="169"/>
      <c r="N210" s="170"/>
      <c r="O210" s="170"/>
      <c r="P210" s="170"/>
      <c r="Y210" s="348" t="s">
        <v>405</v>
      </c>
      <c r="Z210" s="348"/>
      <c r="AA210" s="348"/>
      <c r="AB210" s="348"/>
      <c r="AC210" s="4">
        <v>40</v>
      </c>
      <c r="AD210" s="4">
        <v>5.2</v>
      </c>
      <c r="AE210" s="39">
        <f t="shared" si="13"/>
        <v>5200</v>
      </c>
      <c r="AF210" s="4">
        <f t="shared" si="14"/>
        <v>40000000</v>
      </c>
      <c r="AG210" s="4">
        <f t="shared" si="15"/>
        <v>40005200</v>
      </c>
      <c r="AH210" s="96">
        <f t="shared" si="16"/>
        <v>40002700</v>
      </c>
      <c r="AI210" s="102">
        <f t="shared" si="17"/>
        <v>40002700</v>
      </c>
      <c r="AJ210" s="4">
        <f t="shared" si="18"/>
        <v>0</v>
      </c>
      <c r="AK210" s="4">
        <f t="shared" si="19"/>
        <v>0</v>
      </c>
    </row>
    <row r="211" spans="1:37" customFormat="1" ht="10.5" customHeight="1" x14ac:dyDescent="0.2">
      <c r="A211" s="39"/>
      <c r="B211" s="124"/>
      <c r="C211" s="124"/>
      <c r="D211" s="124"/>
      <c r="E211" s="124"/>
      <c r="F211" s="124"/>
      <c r="G211" s="124"/>
      <c r="H211" s="124"/>
      <c r="I211" s="124"/>
      <c r="J211" s="124"/>
      <c r="K211" s="124"/>
      <c r="L211" s="124"/>
      <c r="M211" s="169"/>
      <c r="N211" s="170"/>
      <c r="O211" s="170"/>
      <c r="P211" s="170"/>
      <c r="Y211" s="348" t="s">
        <v>406</v>
      </c>
      <c r="Z211" s="348"/>
      <c r="AA211" s="348"/>
      <c r="AB211" s="348"/>
      <c r="AC211" s="4">
        <v>40</v>
      </c>
      <c r="AD211" s="4">
        <v>6.2</v>
      </c>
      <c r="AE211" s="39">
        <f t="shared" si="13"/>
        <v>6200</v>
      </c>
      <c r="AF211" s="4">
        <f t="shared" si="14"/>
        <v>40000000</v>
      </c>
      <c r="AG211" s="4">
        <f t="shared" si="15"/>
        <v>40006200</v>
      </c>
      <c r="AH211" s="96">
        <f t="shared" si="16"/>
        <v>40003700</v>
      </c>
      <c r="AI211" s="102">
        <f t="shared" si="17"/>
        <v>40003700</v>
      </c>
      <c r="AJ211" s="4">
        <f t="shared" si="18"/>
        <v>0</v>
      </c>
      <c r="AK211" s="4">
        <f t="shared" si="19"/>
        <v>0</v>
      </c>
    </row>
    <row r="212" spans="1:37" customFormat="1" ht="10.5" customHeight="1" x14ac:dyDescent="0.2">
      <c r="A212" s="39"/>
      <c r="B212" s="124"/>
      <c r="C212" s="124"/>
      <c r="D212" s="124"/>
      <c r="E212" s="124"/>
      <c r="F212" s="124"/>
      <c r="G212" s="124"/>
      <c r="H212" s="124"/>
      <c r="I212" s="124"/>
      <c r="J212" s="124"/>
      <c r="K212" s="124"/>
      <c r="L212" s="124"/>
      <c r="M212" s="169"/>
      <c r="N212" s="170"/>
      <c r="O212" s="170"/>
      <c r="P212" s="170"/>
      <c r="Y212" s="348" t="s">
        <v>407</v>
      </c>
      <c r="Z212" s="348"/>
      <c r="AA212" s="348"/>
      <c r="AB212" s="348"/>
      <c r="AC212" s="4">
        <v>40</v>
      </c>
      <c r="AD212" s="4">
        <v>8.6</v>
      </c>
      <c r="AE212" s="39">
        <f t="shared" si="13"/>
        <v>8600</v>
      </c>
      <c r="AF212" s="4">
        <f t="shared" si="14"/>
        <v>40000000</v>
      </c>
      <c r="AG212" s="4">
        <f t="shared" si="15"/>
        <v>40008600</v>
      </c>
      <c r="AH212" s="96">
        <f t="shared" si="16"/>
        <v>40006100</v>
      </c>
      <c r="AI212" s="102">
        <f t="shared" si="17"/>
        <v>40006100</v>
      </c>
      <c r="AJ212" s="4">
        <f t="shared" si="18"/>
        <v>0</v>
      </c>
      <c r="AK212" s="4">
        <f t="shared" si="19"/>
        <v>0</v>
      </c>
    </row>
    <row r="213" spans="1:37" customFormat="1" ht="10.5" customHeight="1" x14ac:dyDescent="0.2">
      <c r="A213" s="39"/>
      <c r="B213" s="124"/>
      <c r="C213" s="124"/>
      <c r="D213" s="124"/>
      <c r="E213" s="124"/>
      <c r="F213" s="124"/>
      <c r="G213" s="124"/>
      <c r="H213" s="124"/>
      <c r="I213" s="124"/>
      <c r="J213" s="124"/>
      <c r="K213" s="124"/>
      <c r="L213" s="124"/>
      <c r="M213" s="169"/>
      <c r="N213" s="170"/>
      <c r="O213" s="170"/>
      <c r="P213" s="170"/>
      <c r="Y213" s="348" t="s">
        <v>477</v>
      </c>
      <c r="Z213" s="348"/>
      <c r="AA213" s="348"/>
      <c r="AB213" s="348"/>
      <c r="AC213" s="4">
        <v>40</v>
      </c>
      <c r="AD213" s="4">
        <v>10.5</v>
      </c>
      <c r="AE213" s="39">
        <f t="shared" si="13"/>
        <v>10500</v>
      </c>
      <c r="AF213" s="4">
        <f t="shared" si="14"/>
        <v>40000000</v>
      </c>
      <c r="AG213" s="4">
        <f t="shared" si="15"/>
        <v>40010500</v>
      </c>
      <c r="AH213" s="96">
        <f t="shared" si="16"/>
        <v>40008000</v>
      </c>
      <c r="AI213" s="102">
        <f t="shared" si="17"/>
        <v>40008000</v>
      </c>
      <c r="AJ213" s="4">
        <f t="shared" si="18"/>
        <v>0</v>
      </c>
      <c r="AK213" s="4">
        <f t="shared" si="19"/>
        <v>0</v>
      </c>
    </row>
    <row r="214" spans="1:37" customFormat="1" ht="10.5" customHeight="1" x14ac:dyDescent="0.2">
      <c r="A214" s="39"/>
      <c r="B214" s="124"/>
      <c r="C214" s="124"/>
      <c r="D214" s="124"/>
      <c r="E214" s="124"/>
      <c r="F214" s="124"/>
      <c r="G214" s="124"/>
      <c r="H214" s="124"/>
      <c r="I214" s="124"/>
      <c r="J214" s="124"/>
      <c r="K214" s="124"/>
      <c r="L214" s="124"/>
      <c r="M214" s="169"/>
      <c r="N214" s="170"/>
      <c r="O214" s="170"/>
      <c r="P214" s="170"/>
      <c r="Y214" s="348" t="s">
        <v>402</v>
      </c>
      <c r="Z214" s="348"/>
      <c r="AA214" s="348"/>
      <c r="AB214" s="348"/>
      <c r="AC214" s="4">
        <v>40</v>
      </c>
      <c r="AD214" s="4">
        <v>10.9</v>
      </c>
      <c r="AE214" s="39">
        <f t="shared" si="13"/>
        <v>10900</v>
      </c>
      <c r="AF214" s="4">
        <f t="shared" si="14"/>
        <v>40000000</v>
      </c>
      <c r="AG214" s="4">
        <f t="shared" si="15"/>
        <v>40010900</v>
      </c>
      <c r="AH214" s="96">
        <f t="shared" si="16"/>
        <v>40008400</v>
      </c>
      <c r="AI214" s="102">
        <f t="shared" si="17"/>
        <v>40008400</v>
      </c>
      <c r="AJ214" s="4">
        <f t="shared" si="18"/>
        <v>0</v>
      </c>
      <c r="AK214" s="4">
        <f t="shared" si="19"/>
        <v>0</v>
      </c>
    </row>
    <row r="215" spans="1:37" customFormat="1" ht="10.5" customHeight="1" x14ac:dyDescent="0.2">
      <c r="A215" s="39"/>
      <c r="B215" s="124"/>
      <c r="C215" s="124"/>
      <c r="D215" s="124"/>
      <c r="E215" s="124"/>
      <c r="F215" s="124"/>
      <c r="G215" s="124"/>
      <c r="H215" s="124"/>
      <c r="I215" s="124"/>
      <c r="J215" s="124"/>
      <c r="K215" s="124"/>
      <c r="L215" s="124"/>
      <c r="M215" s="169"/>
      <c r="N215" s="170"/>
      <c r="O215" s="170"/>
      <c r="P215" s="170"/>
      <c r="Y215" s="348" t="s">
        <v>478</v>
      </c>
      <c r="Z215" s="348"/>
      <c r="AA215" s="348"/>
      <c r="AB215" s="348"/>
      <c r="AC215" s="4">
        <v>40</v>
      </c>
      <c r="AD215" s="4">
        <v>12.8</v>
      </c>
      <c r="AE215" s="39">
        <f t="shared" si="13"/>
        <v>12800</v>
      </c>
      <c r="AF215" s="4">
        <f t="shared" si="14"/>
        <v>40000000</v>
      </c>
      <c r="AG215" s="4">
        <f t="shared" si="15"/>
        <v>40012800</v>
      </c>
      <c r="AH215" s="96">
        <f t="shared" si="16"/>
        <v>40010300</v>
      </c>
      <c r="AI215" s="102">
        <f t="shared" si="17"/>
        <v>40010300</v>
      </c>
      <c r="AJ215" s="4">
        <f t="shared" si="18"/>
        <v>0</v>
      </c>
      <c r="AK215" s="4">
        <f t="shared" si="19"/>
        <v>0</v>
      </c>
    </row>
    <row r="216" spans="1:37" customFormat="1" ht="10.5" customHeight="1" x14ac:dyDescent="0.2">
      <c r="A216" s="39"/>
      <c r="B216" s="124"/>
      <c r="C216" s="124"/>
      <c r="D216" s="124"/>
      <c r="E216" s="124"/>
      <c r="F216" s="124"/>
      <c r="G216" s="124"/>
      <c r="H216" s="124"/>
      <c r="I216" s="124"/>
      <c r="J216" s="124"/>
      <c r="K216" s="124"/>
      <c r="L216" s="124"/>
      <c r="M216" s="169"/>
      <c r="N216" s="170"/>
      <c r="O216" s="170"/>
      <c r="P216" s="170"/>
      <c r="Y216" s="348" t="s">
        <v>408</v>
      </c>
      <c r="Z216" s="348"/>
      <c r="AA216" s="348"/>
      <c r="AB216" s="348"/>
      <c r="AC216" s="4">
        <v>40</v>
      </c>
      <c r="AD216" s="4">
        <v>15.8</v>
      </c>
      <c r="AE216" s="39">
        <f t="shared" si="13"/>
        <v>15800</v>
      </c>
      <c r="AF216" s="4">
        <f t="shared" si="14"/>
        <v>40000000</v>
      </c>
      <c r="AG216" s="4">
        <f t="shared" si="15"/>
        <v>40015800</v>
      </c>
      <c r="AH216" s="96">
        <f t="shared" si="16"/>
        <v>40013300</v>
      </c>
      <c r="AI216" s="102">
        <f t="shared" si="17"/>
        <v>40013300</v>
      </c>
      <c r="AJ216" s="4">
        <f t="shared" si="18"/>
        <v>0</v>
      </c>
      <c r="AK216" s="4">
        <f t="shared" si="19"/>
        <v>0</v>
      </c>
    </row>
    <row r="217" spans="1:37" customFormat="1" ht="10.5" customHeight="1" x14ac:dyDescent="0.2">
      <c r="A217" s="39"/>
      <c r="B217" s="124"/>
      <c r="C217" s="124"/>
      <c r="D217" s="124"/>
      <c r="E217" s="124"/>
      <c r="F217" s="124"/>
      <c r="G217" s="124"/>
      <c r="H217" s="124"/>
      <c r="I217" s="124"/>
      <c r="J217" s="124"/>
      <c r="K217" s="124"/>
      <c r="L217" s="124"/>
      <c r="M217" s="169"/>
      <c r="N217" s="170"/>
      <c r="O217" s="170"/>
      <c r="P217" s="170"/>
      <c r="Y217" s="348" t="s">
        <v>479</v>
      </c>
      <c r="Z217" s="348"/>
      <c r="AA217" s="348"/>
      <c r="AB217" s="348"/>
      <c r="AC217" s="4">
        <v>40</v>
      </c>
      <c r="AD217" s="4">
        <v>17.2</v>
      </c>
      <c r="AE217" s="39">
        <f t="shared" si="13"/>
        <v>17200</v>
      </c>
      <c r="AF217" s="4">
        <f>AC217*1000000</f>
        <v>40000000</v>
      </c>
      <c r="AG217" s="4">
        <f>AE217+AF217</f>
        <v>40017200</v>
      </c>
      <c r="AH217" s="96">
        <f t="shared" si="16"/>
        <v>40014700</v>
      </c>
      <c r="AI217" s="102">
        <f t="shared" si="17"/>
        <v>40014700</v>
      </c>
      <c r="AJ217" s="4">
        <f t="shared" si="18"/>
        <v>0</v>
      </c>
      <c r="AK217" s="4">
        <f>IF(AJ217=1,AD217,0)</f>
        <v>0</v>
      </c>
    </row>
    <row r="218" spans="1:37" customFormat="1" ht="10.5" customHeight="1" x14ac:dyDescent="0.2">
      <c r="A218" s="39"/>
      <c r="B218" s="124"/>
      <c r="C218" s="124"/>
      <c r="D218" s="124"/>
      <c r="E218" s="124"/>
      <c r="F218" s="124"/>
      <c r="G218" s="124"/>
      <c r="H218" s="124"/>
      <c r="I218" s="124"/>
      <c r="J218" s="124"/>
      <c r="K218" s="124"/>
      <c r="L218" s="124"/>
      <c r="M218" s="169"/>
      <c r="N218" s="170"/>
      <c r="O218" s="170"/>
      <c r="P218" s="170"/>
      <c r="Y218" s="348" t="s">
        <v>480</v>
      </c>
      <c r="Z218" s="348"/>
      <c r="AA218" s="348"/>
      <c r="AB218" s="348"/>
      <c r="AC218" s="4">
        <v>40</v>
      </c>
      <c r="AD218" s="4">
        <v>20.6</v>
      </c>
      <c r="AE218" s="39">
        <f t="shared" si="13"/>
        <v>20600</v>
      </c>
      <c r="AF218" s="4">
        <f>AC218*1000000</f>
        <v>40000000</v>
      </c>
      <c r="AG218" s="4">
        <f>AE218+AF218</f>
        <v>40020600</v>
      </c>
      <c r="AH218" s="96">
        <f t="shared" si="16"/>
        <v>40018100</v>
      </c>
      <c r="AI218" s="102">
        <f t="shared" si="17"/>
        <v>40018100</v>
      </c>
      <c r="AJ218" s="4">
        <f t="shared" si="18"/>
        <v>0</v>
      </c>
      <c r="AK218" s="4">
        <f>IF(AJ218=1,AD218,0)</f>
        <v>0</v>
      </c>
    </row>
    <row r="219" spans="1:37" customFormat="1" ht="10.5" customHeight="1" x14ac:dyDescent="0.2">
      <c r="A219" s="39"/>
      <c r="B219" s="124"/>
      <c r="C219" s="124"/>
      <c r="D219" s="124"/>
      <c r="E219" s="124"/>
      <c r="F219" s="124"/>
      <c r="G219" s="124"/>
      <c r="H219" s="124"/>
      <c r="I219" s="124"/>
      <c r="J219" s="124"/>
      <c r="K219" s="124"/>
      <c r="L219" s="124"/>
      <c r="M219" s="169"/>
      <c r="N219" s="170"/>
      <c r="O219" s="170"/>
      <c r="P219" s="170"/>
      <c r="Y219" s="348" t="s">
        <v>481</v>
      </c>
      <c r="Z219" s="348"/>
      <c r="AA219" s="348"/>
      <c r="AB219" s="348"/>
      <c r="AC219" s="4">
        <v>40</v>
      </c>
      <c r="AD219" s="4">
        <v>20.9</v>
      </c>
      <c r="AE219" s="39">
        <f t="shared" si="13"/>
        <v>20900</v>
      </c>
      <c r="AF219" s="4">
        <f>AC219*1000000</f>
        <v>40000000</v>
      </c>
      <c r="AG219" s="4">
        <f>AE219+AF219</f>
        <v>40020900</v>
      </c>
      <c r="AH219" s="96">
        <f t="shared" si="16"/>
        <v>40018400</v>
      </c>
      <c r="AI219" s="102">
        <f t="shared" si="17"/>
        <v>40018400</v>
      </c>
      <c r="AJ219" s="4">
        <f t="shared" si="18"/>
        <v>0</v>
      </c>
      <c r="AK219" s="4">
        <f>IF(AJ219=1,AD219,0)</f>
        <v>0</v>
      </c>
    </row>
    <row r="220" spans="1:37" customFormat="1" ht="10.5" customHeight="1" x14ac:dyDescent="0.2">
      <c r="A220" s="39"/>
      <c r="B220" s="124"/>
      <c r="C220" s="124"/>
      <c r="D220" s="124"/>
      <c r="E220" s="124"/>
      <c r="F220" s="124"/>
      <c r="G220" s="124"/>
      <c r="H220" s="124"/>
      <c r="I220" s="124"/>
      <c r="J220" s="124"/>
      <c r="K220" s="124"/>
      <c r="L220" s="124"/>
      <c r="M220" s="169"/>
      <c r="N220" s="170"/>
      <c r="O220" s="170"/>
      <c r="P220" s="170"/>
      <c r="Y220" s="348" t="s">
        <v>482</v>
      </c>
      <c r="Z220" s="348"/>
      <c r="AA220" s="348"/>
      <c r="AB220" s="348"/>
      <c r="AC220" s="4">
        <v>40</v>
      </c>
      <c r="AD220" s="4">
        <v>25</v>
      </c>
      <c r="AE220" s="39">
        <f t="shared" si="13"/>
        <v>25000</v>
      </c>
      <c r="AF220" s="4">
        <f>AC220*1000000</f>
        <v>40000000</v>
      </c>
      <c r="AG220" s="4">
        <f>AE220+AF220</f>
        <v>40025000</v>
      </c>
      <c r="AH220" s="96">
        <f t="shared" si="16"/>
        <v>40022500</v>
      </c>
      <c r="AI220" s="102">
        <f t="shared" si="17"/>
        <v>40022500</v>
      </c>
      <c r="AJ220" s="4">
        <f t="shared" si="18"/>
        <v>0</v>
      </c>
      <c r="AK220" s="4">
        <f>IF(AJ220=1,AD220,0)</f>
        <v>0</v>
      </c>
    </row>
    <row r="221" spans="1:37" customFormat="1" ht="10.5" customHeight="1" x14ac:dyDescent="0.2">
      <c r="A221" s="39"/>
      <c r="B221" s="124"/>
      <c r="C221" s="124"/>
      <c r="D221" s="124"/>
      <c r="E221" s="124"/>
      <c r="F221" s="124"/>
      <c r="G221" s="124"/>
      <c r="H221" s="124"/>
      <c r="I221" s="124"/>
      <c r="J221" s="124"/>
      <c r="K221" s="124"/>
      <c r="L221" s="124"/>
      <c r="M221" s="169"/>
      <c r="N221" s="170"/>
      <c r="O221" s="170"/>
      <c r="P221" s="170"/>
      <c r="Y221" s="348" t="s">
        <v>410</v>
      </c>
      <c r="Z221" s="348"/>
      <c r="AA221" s="348"/>
      <c r="AB221" s="348"/>
      <c r="AC221" s="4">
        <v>50</v>
      </c>
      <c r="AD221" s="4">
        <v>1.3</v>
      </c>
      <c r="AE221" s="39">
        <f t="shared" si="13"/>
        <v>1300</v>
      </c>
      <c r="AF221" s="4">
        <f t="shared" si="14"/>
        <v>50000000</v>
      </c>
      <c r="AG221" s="4">
        <f t="shared" si="15"/>
        <v>50001300</v>
      </c>
      <c r="AH221" s="96">
        <f t="shared" si="16"/>
        <v>49998800</v>
      </c>
      <c r="AI221" s="102">
        <f t="shared" si="17"/>
        <v>49998800</v>
      </c>
      <c r="AJ221" s="4">
        <f t="shared" si="18"/>
        <v>0</v>
      </c>
      <c r="AK221" s="4">
        <f t="shared" si="19"/>
        <v>0</v>
      </c>
    </row>
    <row r="222" spans="1:37" customFormat="1" ht="10.5" customHeight="1" x14ac:dyDescent="0.2">
      <c r="A222" s="39"/>
      <c r="B222" s="124"/>
      <c r="C222" s="124"/>
      <c r="D222" s="124"/>
      <c r="E222" s="124"/>
      <c r="F222" s="124"/>
      <c r="G222" s="124"/>
      <c r="H222" s="124"/>
      <c r="I222" s="124"/>
      <c r="J222" s="124"/>
      <c r="K222" s="124"/>
      <c r="L222" s="124"/>
      <c r="M222" s="169"/>
      <c r="N222" s="170"/>
      <c r="O222" s="170"/>
      <c r="P222" s="170"/>
      <c r="Y222" s="348" t="s">
        <v>411</v>
      </c>
      <c r="Z222" s="348"/>
      <c r="AA222" s="348"/>
      <c r="AB222" s="348"/>
      <c r="AC222" s="4">
        <v>50</v>
      </c>
      <c r="AD222" s="4">
        <v>3.7</v>
      </c>
      <c r="AE222" s="39">
        <f t="shared" si="13"/>
        <v>3700</v>
      </c>
      <c r="AF222" s="4">
        <f t="shared" si="14"/>
        <v>50000000</v>
      </c>
      <c r="AG222" s="4">
        <f t="shared" si="15"/>
        <v>50003700</v>
      </c>
      <c r="AH222" s="96">
        <f t="shared" si="16"/>
        <v>50001200</v>
      </c>
      <c r="AI222" s="102">
        <f t="shared" si="17"/>
        <v>50001200</v>
      </c>
      <c r="AJ222" s="4">
        <f t="shared" si="18"/>
        <v>0</v>
      </c>
      <c r="AK222" s="4">
        <f t="shared" si="19"/>
        <v>0</v>
      </c>
    </row>
    <row r="223" spans="1:37" customFormat="1" ht="10.5" customHeight="1" x14ac:dyDescent="0.2">
      <c r="A223" s="39"/>
      <c r="B223" s="124"/>
      <c r="C223" s="124"/>
      <c r="D223" s="124"/>
      <c r="E223" s="124"/>
      <c r="F223" s="124"/>
      <c r="G223" s="124"/>
      <c r="H223" s="124"/>
      <c r="I223" s="124"/>
      <c r="J223" s="124"/>
      <c r="K223" s="124"/>
      <c r="L223" s="124"/>
      <c r="M223" s="169"/>
      <c r="N223" s="170"/>
      <c r="O223" s="170"/>
      <c r="P223" s="170"/>
      <c r="Y223" s="348" t="s">
        <v>412</v>
      </c>
      <c r="Z223" s="348"/>
      <c r="AA223" s="348"/>
      <c r="AB223" s="348"/>
      <c r="AC223" s="4">
        <v>50</v>
      </c>
      <c r="AD223" s="4">
        <v>5.2</v>
      </c>
      <c r="AE223" s="39">
        <f t="shared" si="13"/>
        <v>5200</v>
      </c>
      <c r="AF223" s="4">
        <f t="shared" si="14"/>
        <v>50000000</v>
      </c>
      <c r="AG223" s="4">
        <f t="shared" si="15"/>
        <v>50005200</v>
      </c>
      <c r="AH223" s="96">
        <f t="shared" si="16"/>
        <v>50002700</v>
      </c>
      <c r="AI223" s="102">
        <f t="shared" si="17"/>
        <v>50002700</v>
      </c>
      <c r="AJ223" s="4">
        <f t="shared" si="18"/>
        <v>0</v>
      </c>
      <c r="AK223" s="4">
        <f t="shared" si="19"/>
        <v>0</v>
      </c>
    </row>
    <row r="224" spans="1:37" customFormat="1" ht="10.5" customHeight="1" x14ac:dyDescent="0.2">
      <c r="A224" s="39"/>
      <c r="B224" s="124"/>
      <c r="C224" s="124"/>
      <c r="D224" s="124"/>
      <c r="E224" s="124"/>
      <c r="F224" s="124"/>
      <c r="G224" s="124"/>
      <c r="H224" s="124"/>
      <c r="I224" s="124"/>
      <c r="J224" s="124"/>
      <c r="K224" s="124"/>
      <c r="L224" s="124"/>
      <c r="M224" s="169"/>
      <c r="N224" s="170"/>
      <c r="O224" s="170"/>
      <c r="P224" s="170"/>
      <c r="Y224" s="348" t="s">
        <v>413</v>
      </c>
      <c r="Z224" s="348"/>
      <c r="AA224" s="348"/>
      <c r="AB224" s="348"/>
      <c r="AC224" s="4">
        <v>50</v>
      </c>
      <c r="AD224" s="4">
        <v>6.2</v>
      </c>
      <c r="AE224" s="39">
        <f t="shared" si="13"/>
        <v>6200</v>
      </c>
      <c r="AF224" s="4">
        <f t="shared" si="14"/>
        <v>50000000</v>
      </c>
      <c r="AG224" s="4">
        <f t="shared" si="15"/>
        <v>50006200</v>
      </c>
      <c r="AH224" s="96">
        <f t="shared" si="16"/>
        <v>50003700</v>
      </c>
      <c r="AI224" s="102">
        <f t="shared" si="17"/>
        <v>50003700</v>
      </c>
      <c r="AJ224" s="4">
        <f t="shared" si="18"/>
        <v>0</v>
      </c>
      <c r="AK224" s="4">
        <f t="shared" si="19"/>
        <v>0</v>
      </c>
    </row>
    <row r="225" spans="1:37" customFormat="1" ht="10.5" customHeight="1" x14ac:dyDescent="0.2">
      <c r="A225" s="39"/>
      <c r="B225" s="124"/>
      <c r="C225" s="124"/>
      <c r="D225" s="124"/>
      <c r="E225" s="124"/>
      <c r="F225" s="124"/>
      <c r="G225" s="124"/>
      <c r="H225" s="124"/>
      <c r="I225" s="124"/>
      <c r="J225" s="124"/>
      <c r="K225" s="124"/>
      <c r="L225" s="124"/>
      <c r="M225" s="169"/>
      <c r="N225" s="170"/>
      <c r="O225" s="170"/>
      <c r="P225" s="170"/>
      <c r="Y225" s="348" t="s">
        <v>414</v>
      </c>
      <c r="Z225" s="348"/>
      <c r="AA225" s="348"/>
      <c r="AB225" s="348"/>
      <c r="AC225" s="4">
        <v>50</v>
      </c>
      <c r="AD225" s="4">
        <v>8.6</v>
      </c>
      <c r="AE225" s="39">
        <f t="shared" si="13"/>
        <v>8600</v>
      </c>
      <c r="AF225" s="4">
        <f t="shared" si="14"/>
        <v>50000000</v>
      </c>
      <c r="AG225" s="4">
        <f t="shared" si="15"/>
        <v>50008600</v>
      </c>
      <c r="AH225" s="96">
        <f t="shared" si="16"/>
        <v>50006100</v>
      </c>
      <c r="AI225" s="102">
        <f t="shared" si="17"/>
        <v>50006100</v>
      </c>
      <c r="AJ225" s="4">
        <f t="shared" si="18"/>
        <v>0</v>
      </c>
      <c r="AK225" s="4">
        <f t="shared" si="19"/>
        <v>0</v>
      </c>
    </row>
    <row r="226" spans="1:37" customFormat="1" ht="10.5" customHeight="1" x14ac:dyDescent="0.2">
      <c r="A226" s="39"/>
      <c r="B226" s="124"/>
      <c r="C226" s="124"/>
      <c r="D226" s="124"/>
      <c r="E226" s="124"/>
      <c r="F226" s="124"/>
      <c r="G226" s="124"/>
      <c r="H226" s="124"/>
      <c r="I226" s="124"/>
      <c r="J226" s="124"/>
      <c r="K226" s="124"/>
      <c r="L226" s="124"/>
      <c r="M226" s="169"/>
      <c r="N226" s="170"/>
      <c r="O226" s="170"/>
      <c r="P226" s="170"/>
      <c r="Y226" s="348" t="s">
        <v>483</v>
      </c>
      <c r="Z226" s="348"/>
      <c r="AA226" s="348"/>
      <c r="AB226" s="348"/>
      <c r="AC226" s="4">
        <v>50</v>
      </c>
      <c r="AD226" s="4">
        <v>10.5</v>
      </c>
      <c r="AE226" s="39">
        <f t="shared" si="13"/>
        <v>10500</v>
      </c>
      <c r="AF226" s="4">
        <f t="shared" si="14"/>
        <v>50000000</v>
      </c>
      <c r="AG226" s="4">
        <f t="shared" si="15"/>
        <v>50010500</v>
      </c>
      <c r="AH226" s="96">
        <f t="shared" si="16"/>
        <v>50008000</v>
      </c>
      <c r="AI226" s="102">
        <f t="shared" si="17"/>
        <v>50008000</v>
      </c>
      <c r="AJ226" s="4">
        <f t="shared" si="18"/>
        <v>0</v>
      </c>
      <c r="AK226" s="4">
        <f t="shared" si="19"/>
        <v>0</v>
      </c>
    </row>
    <row r="227" spans="1:37" x14ac:dyDescent="0.2">
      <c r="A227" s="39"/>
      <c r="B227" s="124"/>
      <c r="C227" s="124"/>
      <c r="D227" s="124"/>
      <c r="E227" s="124"/>
      <c r="F227" s="124"/>
      <c r="G227" s="124"/>
      <c r="H227" s="124"/>
      <c r="I227" s="124"/>
      <c r="J227" s="124"/>
      <c r="K227" s="124"/>
      <c r="L227" s="124"/>
      <c r="M227" s="169"/>
      <c r="N227" s="170"/>
      <c r="O227" s="170"/>
      <c r="P227" s="170"/>
      <c r="Y227" s="348" t="s">
        <v>415</v>
      </c>
      <c r="Z227" s="348"/>
      <c r="AA227" s="348"/>
      <c r="AB227" s="348"/>
      <c r="AC227" s="4">
        <v>50</v>
      </c>
      <c r="AD227" s="4">
        <v>10.9</v>
      </c>
      <c r="AE227" s="39">
        <f t="shared" si="13"/>
        <v>10900</v>
      </c>
      <c r="AF227" s="4">
        <f t="shared" si="14"/>
        <v>50000000</v>
      </c>
      <c r="AG227" s="4">
        <f t="shared" si="15"/>
        <v>50010900</v>
      </c>
      <c r="AH227" s="96">
        <f t="shared" si="16"/>
        <v>50008400</v>
      </c>
      <c r="AI227" s="102">
        <f t="shared" si="17"/>
        <v>50008400</v>
      </c>
      <c r="AJ227" s="4">
        <f t="shared" si="18"/>
        <v>0</v>
      </c>
      <c r="AK227" s="4">
        <f t="shared" si="19"/>
        <v>0</v>
      </c>
    </row>
    <row r="228" spans="1:37" x14ac:dyDescent="0.2">
      <c r="A228" s="39"/>
      <c r="B228" s="124"/>
      <c r="C228" s="124"/>
      <c r="D228" s="124"/>
      <c r="E228" s="124"/>
      <c r="F228" s="124"/>
      <c r="G228" s="124"/>
      <c r="H228" s="124"/>
      <c r="I228" s="124"/>
      <c r="J228" s="124"/>
      <c r="K228" s="124"/>
      <c r="L228" s="124"/>
      <c r="M228" s="169"/>
      <c r="N228" s="170"/>
      <c r="O228" s="170"/>
      <c r="P228" s="170"/>
      <c r="Y228" s="348" t="s">
        <v>484</v>
      </c>
      <c r="Z228" s="348"/>
      <c r="AA228" s="348"/>
      <c r="AB228" s="348"/>
      <c r="AC228" s="4">
        <v>50</v>
      </c>
      <c r="AD228" s="4">
        <v>12.8</v>
      </c>
      <c r="AE228" s="39">
        <f t="shared" si="13"/>
        <v>12800</v>
      </c>
      <c r="AF228" s="4">
        <f t="shared" si="14"/>
        <v>50000000</v>
      </c>
      <c r="AG228" s="4">
        <f t="shared" si="15"/>
        <v>50012800</v>
      </c>
      <c r="AH228" s="96">
        <f t="shared" si="16"/>
        <v>50010300</v>
      </c>
      <c r="AI228" s="102">
        <f t="shared" si="17"/>
        <v>50010300</v>
      </c>
      <c r="AJ228" s="4">
        <f t="shared" si="18"/>
        <v>0</v>
      </c>
      <c r="AK228" s="4">
        <f t="shared" si="19"/>
        <v>0</v>
      </c>
    </row>
    <row r="229" spans="1:37" x14ac:dyDescent="0.2">
      <c r="A229" s="39"/>
      <c r="B229" s="124"/>
      <c r="C229" s="124"/>
      <c r="D229" s="124"/>
      <c r="E229" s="124"/>
      <c r="F229" s="124"/>
      <c r="G229" s="124"/>
      <c r="H229" s="124"/>
      <c r="I229" s="124"/>
      <c r="J229" s="124"/>
      <c r="K229" s="124"/>
      <c r="L229" s="124"/>
      <c r="M229" s="169"/>
      <c r="N229" s="170"/>
      <c r="O229" s="170"/>
      <c r="P229" s="170"/>
      <c r="Y229" s="348" t="s">
        <v>409</v>
      </c>
      <c r="Z229" s="348"/>
      <c r="AA229" s="348"/>
      <c r="AB229" s="348"/>
      <c r="AC229" s="4">
        <v>50</v>
      </c>
      <c r="AD229" s="4">
        <v>15.8</v>
      </c>
      <c r="AE229" s="39">
        <f t="shared" si="13"/>
        <v>15800</v>
      </c>
      <c r="AF229" s="4">
        <f t="shared" si="14"/>
        <v>50000000</v>
      </c>
      <c r="AG229" s="4">
        <f t="shared" si="15"/>
        <v>50015800</v>
      </c>
      <c r="AH229" s="96">
        <f t="shared" si="16"/>
        <v>50013300</v>
      </c>
      <c r="AI229" s="102">
        <f t="shared" si="17"/>
        <v>50013300</v>
      </c>
      <c r="AJ229" s="4">
        <f t="shared" si="18"/>
        <v>0</v>
      </c>
      <c r="AK229" s="4">
        <f t="shared" si="19"/>
        <v>0</v>
      </c>
    </row>
    <row r="230" spans="1:37" x14ac:dyDescent="0.2">
      <c r="A230" s="39"/>
      <c r="B230" s="124"/>
      <c r="C230" s="124"/>
      <c r="D230" s="124"/>
      <c r="E230" s="124"/>
      <c r="F230" s="124"/>
      <c r="G230" s="124"/>
      <c r="H230" s="124"/>
      <c r="I230" s="124"/>
      <c r="J230" s="124"/>
      <c r="K230" s="124"/>
      <c r="L230" s="124"/>
      <c r="M230" s="169"/>
      <c r="N230" s="170"/>
      <c r="O230" s="170"/>
      <c r="P230" s="170"/>
      <c r="Y230" s="348" t="s">
        <v>485</v>
      </c>
      <c r="Z230" s="348"/>
      <c r="AA230" s="348"/>
      <c r="AB230" s="348"/>
      <c r="AC230" s="4">
        <v>50</v>
      </c>
      <c r="AD230" s="4">
        <v>17.2</v>
      </c>
      <c r="AE230" s="39">
        <f t="shared" si="13"/>
        <v>17200</v>
      </c>
      <c r="AF230" s="4">
        <f>AC230*1000000</f>
        <v>50000000</v>
      </c>
      <c r="AG230" s="4">
        <f>AE230+AF230</f>
        <v>50017200</v>
      </c>
      <c r="AH230" s="96">
        <f t="shared" si="16"/>
        <v>50014700</v>
      </c>
      <c r="AI230" s="102">
        <f t="shared" si="17"/>
        <v>50014700</v>
      </c>
      <c r="AJ230" s="4">
        <f t="shared" si="18"/>
        <v>0</v>
      </c>
      <c r="AK230" s="4">
        <f>IF(AJ230=1,AD230,0)</f>
        <v>0</v>
      </c>
    </row>
    <row r="231" spans="1:37" x14ac:dyDescent="0.2">
      <c r="A231" s="39"/>
      <c r="B231" s="124"/>
      <c r="C231" s="124"/>
      <c r="D231" s="124"/>
      <c r="E231" s="124"/>
      <c r="F231" s="124"/>
      <c r="G231" s="124"/>
      <c r="H231" s="124"/>
      <c r="I231" s="124"/>
      <c r="J231" s="124"/>
      <c r="K231" s="124"/>
      <c r="L231" s="124"/>
      <c r="M231" s="169"/>
      <c r="N231" s="170"/>
      <c r="O231" s="170"/>
      <c r="P231" s="170"/>
      <c r="Y231" s="348" t="s">
        <v>486</v>
      </c>
      <c r="Z231" s="348"/>
      <c r="AA231" s="348"/>
      <c r="AB231" s="348"/>
      <c r="AC231" s="4">
        <v>50</v>
      </c>
      <c r="AD231" s="4">
        <v>20.6</v>
      </c>
      <c r="AE231" s="39">
        <f t="shared" si="13"/>
        <v>20600</v>
      </c>
      <c r="AF231" s="4">
        <f>AC231*1000000</f>
        <v>50000000</v>
      </c>
      <c r="AG231" s="4">
        <f>AE231+AF231</f>
        <v>50020600</v>
      </c>
      <c r="AH231" s="96">
        <f t="shared" si="16"/>
        <v>50018100</v>
      </c>
      <c r="AI231" s="102">
        <f t="shared" si="17"/>
        <v>50018100</v>
      </c>
      <c r="AJ231" s="4">
        <f t="shared" si="18"/>
        <v>0</v>
      </c>
      <c r="AK231" s="4">
        <f>IF(AJ231=1,AD231,0)</f>
        <v>0</v>
      </c>
    </row>
    <row r="232" spans="1:37" x14ac:dyDescent="0.2">
      <c r="A232" s="39"/>
      <c r="B232" s="124"/>
      <c r="C232" s="124"/>
      <c r="D232" s="124"/>
      <c r="E232" s="124"/>
      <c r="F232" s="124"/>
      <c r="G232" s="124"/>
      <c r="H232" s="124"/>
      <c r="I232" s="124"/>
      <c r="J232" s="124"/>
      <c r="K232" s="124"/>
      <c r="L232" s="124"/>
      <c r="M232" s="169"/>
      <c r="N232" s="170"/>
      <c r="O232" s="170"/>
      <c r="P232" s="170"/>
      <c r="Y232" s="348" t="s">
        <v>487</v>
      </c>
      <c r="Z232" s="348"/>
      <c r="AA232" s="348"/>
      <c r="AB232" s="348"/>
      <c r="AC232" s="4">
        <v>50</v>
      </c>
      <c r="AD232" s="4">
        <v>20.9</v>
      </c>
      <c r="AE232" s="39">
        <f t="shared" si="13"/>
        <v>20900</v>
      </c>
      <c r="AF232" s="4">
        <f>AC232*1000000</f>
        <v>50000000</v>
      </c>
      <c r="AG232" s="4">
        <f>AE232+AF232</f>
        <v>50020900</v>
      </c>
      <c r="AH232" s="96">
        <f t="shared" si="16"/>
        <v>50018400</v>
      </c>
      <c r="AI232" s="102">
        <f t="shared" si="17"/>
        <v>50018400</v>
      </c>
      <c r="AJ232" s="4">
        <f t="shared" si="18"/>
        <v>0</v>
      </c>
      <c r="AK232" s="4">
        <f>IF(AJ232=1,AD232,0)</f>
        <v>0</v>
      </c>
    </row>
    <row r="233" spans="1:37" x14ac:dyDescent="0.2">
      <c r="A233" s="39"/>
      <c r="B233" s="124"/>
      <c r="C233" s="124"/>
      <c r="D233" s="124"/>
      <c r="E233" s="124"/>
      <c r="F233" s="124"/>
      <c r="G233" s="124"/>
      <c r="H233" s="124"/>
      <c r="I233" s="124"/>
      <c r="J233" s="124"/>
      <c r="K233" s="124"/>
      <c r="L233" s="124"/>
      <c r="M233" s="169"/>
      <c r="N233" s="170"/>
      <c r="O233" s="170"/>
      <c r="P233" s="170"/>
      <c r="Y233" s="348" t="s">
        <v>488</v>
      </c>
      <c r="Z233" s="348"/>
      <c r="AA233" s="348"/>
      <c r="AB233" s="348"/>
      <c r="AC233" s="4">
        <v>50</v>
      </c>
      <c r="AD233" s="4">
        <v>25</v>
      </c>
      <c r="AE233" s="39">
        <f t="shared" si="13"/>
        <v>25000</v>
      </c>
      <c r="AF233" s="4">
        <f>AC233*1000000</f>
        <v>50000000</v>
      </c>
      <c r="AG233" s="4">
        <f>AE233+AF233</f>
        <v>50025000</v>
      </c>
      <c r="AH233" s="96">
        <f t="shared" si="16"/>
        <v>50022500</v>
      </c>
      <c r="AI233" s="102">
        <f t="shared" si="17"/>
        <v>50022500</v>
      </c>
      <c r="AJ233" s="4">
        <f t="shared" si="18"/>
        <v>0</v>
      </c>
      <c r="AK233" s="4">
        <f>IF(AJ233=1,AD233,0)</f>
        <v>0</v>
      </c>
    </row>
    <row r="234" spans="1:37" x14ac:dyDescent="0.2">
      <c r="A234" s="39"/>
      <c r="B234" s="124"/>
      <c r="C234" s="124"/>
      <c r="D234" s="124"/>
      <c r="E234" s="124"/>
      <c r="F234" s="124"/>
      <c r="G234" s="124"/>
      <c r="H234" s="124"/>
      <c r="I234" s="124"/>
      <c r="J234" s="124"/>
      <c r="K234" s="124"/>
      <c r="L234" s="124"/>
      <c r="M234" s="169"/>
      <c r="N234" s="170"/>
      <c r="O234" s="170"/>
      <c r="P234" s="170"/>
      <c r="Y234" s="348" t="s">
        <v>449</v>
      </c>
      <c r="Z234" s="348"/>
      <c r="AA234" s="348"/>
      <c r="AB234" s="348"/>
      <c r="AC234" s="4">
        <v>65</v>
      </c>
      <c r="AD234" s="4">
        <v>2.2999999999999998</v>
      </c>
      <c r="AE234" s="39">
        <f t="shared" si="13"/>
        <v>2300</v>
      </c>
      <c r="AF234" s="4">
        <f t="shared" si="14"/>
        <v>65000000</v>
      </c>
      <c r="AG234" s="4">
        <f t="shared" si="15"/>
        <v>65002300</v>
      </c>
      <c r="AH234" s="96">
        <f t="shared" si="16"/>
        <v>64999800</v>
      </c>
      <c r="AI234" s="102">
        <f t="shared" si="17"/>
        <v>64999800</v>
      </c>
      <c r="AJ234" s="4">
        <f t="shared" si="18"/>
        <v>0</v>
      </c>
      <c r="AK234" s="4">
        <f t="shared" si="19"/>
        <v>0</v>
      </c>
    </row>
    <row r="235" spans="1:37" x14ac:dyDescent="0.2">
      <c r="A235" s="39"/>
      <c r="B235" s="124"/>
      <c r="C235" s="124"/>
      <c r="D235" s="124"/>
      <c r="E235" s="124"/>
      <c r="F235" s="124"/>
      <c r="G235" s="124"/>
      <c r="H235" s="124"/>
      <c r="I235" s="124"/>
      <c r="J235" s="124"/>
      <c r="K235" s="124"/>
      <c r="L235" s="124"/>
      <c r="M235" s="169"/>
      <c r="N235" s="170"/>
      <c r="O235" s="170"/>
      <c r="P235" s="170"/>
      <c r="Y235" s="348" t="s">
        <v>450</v>
      </c>
      <c r="Z235" s="348"/>
      <c r="AA235" s="348"/>
      <c r="AB235" s="348"/>
      <c r="AC235" s="4">
        <v>65</v>
      </c>
      <c r="AD235" s="4">
        <v>7.4</v>
      </c>
      <c r="AE235" s="39">
        <f t="shared" si="13"/>
        <v>7400</v>
      </c>
      <c r="AF235" s="4">
        <f t="shared" si="14"/>
        <v>65000000</v>
      </c>
      <c r="AG235" s="4">
        <f t="shared" si="15"/>
        <v>65007400</v>
      </c>
      <c r="AH235" s="96">
        <f t="shared" si="16"/>
        <v>65004900</v>
      </c>
      <c r="AI235" s="102">
        <f t="shared" si="17"/>
        <v>65004900</v>
      </c>
      <c r="AJ235" s="4">
        <f t="shared" si="18"/>
        <v>0</v>
      </c>
      <c r="AK235" s="4">
        <f t="shared" si="19"/>
        <v>0</v>
      </c>
    </row>
    <row r="236" spans="1:37" x14ac:dyDescent="0.2">
      <c r="A236" s="39"/>
      <c r="B236" s="124"/>
      <c r="C236" s="124"/>
      <c r="D236" s="124"/>
      <c r="E236" s="124"/>
      <c r="F236" s="124"/>
      <c r="G236" s="124"/>
      <c r="H236" s="124"/>
      <c r="I236" s="124"/>
      <c r="J236" s="124"/>
      <c r="K236" s="124"/>
      <c r="L236" s="124"/>
      <c r="M236" s="169"/>
      <c r="N236" s="170"/>
      <c r="O236" s="170"/>
      <c r="P236" s="170"/>
      <c r="Y236" s="348" t="s">
        <v>451</v>
      </c>
      <c r="Z236" s="348"/>
      <c r="AA236" s="348"/>
      <c r="AB236" s="348"/>
      <c r="AC236" s="4">
        <v>65</v>
      </c>
      <c r="AD236" s="4">
        <v>9.6</v>
      </c>
      <c r="AE236" s="39">
        <f t="shared" si="13"/>
        <v>9600</v>
      </c>
      <c r="AF236" s="4">
        <f t="shared" si="14"/>
        <v>65000000</v>
      </c>
      <c r="AG236" s="4">
        <f t="shared" si="15"/>
        <v>65009600</v>
      </c>
      <c r="AH236" s="96">
        <f t="shared" si="16"/>
        <v>65007100</v>
      </c>
      <c r="AI236" s="102">
        <f t="shared" si="17"/>
        <v>65007100</v>
      </c>
      <c r="AJ236" s="4">
        <f t="shared" si="18"/>
        <v>0</v>
      </c>
      <c r="AK236" s="4">
        <f t="shared" si="19"/>
        <v>0</v>
      </c>
    </row>
    <row r="237" spans="1:37" x14ac:dyDescent="0.2">
      <c r="A237" s="39"/>
      <c r="B237" s="124"/>
      <c r="C237" s="124"/>
      <c r="D237" s="124"/>
      <c r="E237" s="124"/>
      <c r="F237" s="124"/>
      <c r="G237" s="124"/>
      <c r="H237" s="124"/>
      <c r="I237" s="124"/>
      <c r="J237" s="124"/>
      <c r="K237" s="124"/>
      <c r="L237" s="124"/>
      <c r="M237" s="169"/>
      <c r="N237" s="170"/>
      <c r="O237" s="170"/>
      <c r="P237" s="170"/>
      <c r="Y237" s="348" t="s">
        <v>416</v>
      </c>
      <c r="Z237" s="348"/>
      <c r="AA237" s="348"/>
      <c r="AB237" s="348"/>
      <c r="AC237" s="4">
        <v>65</v>
      </c>
      <c r="AD237" s="4">
        <v>14.6</v>
      </c>
      <c r="AE237" s="39">
        <f t="shared" si="13"/>
        <v>14600</v>
      </c>
      <c r="AF237" s="4">
        <f t="shared" si="14"/>
        <v>65000000</v>
      </c>
      <c r="AG237" s="4">
        <f t="shared" si="15"/>
        <v>65014600</v>
      </c>
      <c r="AH237" s="96">
        <f t="shared" si="16"/>
        <v>65012100</v>
      </c>
      <c r="AI237" s="102">
        <f t="shared" si="17"/>
        <v>65012100</v>
      </c>
      <c r="AJ237" s="4">
        <f t="shared" si="18"/>
        <v>0</v>
      </c>
      <c r="AK237" s="4">
        <f t="shared" si="19"/>
        <v>0</v>
      </c>
    </row>
    <row r="238" spans="1:37" x14ac:dyDescent="0.2">
      <c r="A238" s="39"/>
      <c r="B238" s="124"/>
      <c r="C238" s="124"/>
      <c r="D238" s="124"/>
      <c r="E238" s="124"/>
      <c r="F238" s="124"/>
      <c r="G238" s="124"/>
      <c r="H238" s="124"/>
      <c r="I238" s="124"/>
      <c r="J238" s="124"/>
      <c r="K238" s="124"/>
      <c r="L238" s="124"/>
      <c r="M238" s="169"/>
      <c r="N238" s="170"/>
      <c r="O238" s="170"/>
      <c r="P238" s="170"/>
      <c r="Y238" s="348" t="s">
        <v>452</v>
      </c>
      <c r="Z238" s="348"/>
      <c r="AA238" s="348"/>
      <c r="AB238" s="348"/>
      <c r="AC238" s="4">
        <v>65</v>
      </c>
      <c r="AD238" s="4">
        <v>18.100000000000001</v>
      </c>
      <c r="AE238" s="39">
        <f t="shared" si="13"/>
        <v>18100</v>
      </c>
      <c r="AF238" s="4">
        <f t="shared" si="14"/>
        <v>65000000</v>
      </c>
      <c r="AG238" s="4">
        <f t="shared" si="15"/>
        <v>65018100</v>
      </c>
      <c r="AH238" s="96">
        <f t="shared" si="16"/>
        <v>65015600</v>
      </c>
      <c r="AI238" s="102">
        <f t="shared" si="17"/>
        <v>65015600</v>
      </c>
      <c r="AJ238" s="4">
        <f t="shared" si="18"/>
        <v>0</v>
      </c>
      <c r="AK238" s="4">
        <f t="shared" si="19"/>
        <v>0</v>
      </c>
    </row>
    <row r="239" spans="1:37" x14ac:dyDescent="0.2">
      <c r="A239" s="39"/>
      <c r="B239" s="124"/>
      <c r="C239" s="124"/>
      <c r="D239" s="124"/>
      <c r="E239" s="124"/>
      <c r="F239" s="124"/>
      <c r="G239" s="124"/>
      <c r="H239" s="124"/>
      <c r="I239" s="124"/>
      <c r="J239" s="124"/>
      <c r="K239" s="124"/>
      <c r="L239" s="124"/>
      <c r="M239" s="169"/>
      <c r="N239" s="170"/>
      <c r="O239" s="170"/>
      <c r="P239" s="170"/>
      <c r="Y239" s="348" t="s">
        <v>462</v>
      </c>
      <c r="Z239" s="348"/>
      <c r="AA239" s="348"/>
      <c r="AB239" s="348"/>
      <c r="AC239" s="4">
        <v>65</v>
      </c>
      <c r="AD239" s="4">
        <v>18.8</v>
      </c>
      <c r="AE239" s="39">
        <f t="shared" si="13"/>
        <v>18800</v>
      </c>
      <c r="AF239" s="4">
        <f t="shared" si="14"/>
        <v>65000000</v>
      </c>
      <c r="AG239" s="4">
        <f t="shared" si="15"/>
        <v>65018800</v>
      </c>
      <c r="AH239" s="96">
        <f t="shared" si="16"/>
        <v>65016300</v>
      </c>
      <c r="AI239" s="102">
        <f t="shared" si="17"/>
        <v>65016300</v>
      </c>
      <c r="AJ239" s="4">
        <f t="shared" si="18"/>
        <v>0</v>
      </c>
      <c r="AK239" s="4">
        <f t="shared" si="19"/>
        <v>0</v>
      </c>
    </row>
    <row r="240" spans="1:37" x14ac:dyDescent="0.2">
      <c r="A240" s="39"/>
      <c r="B240" s="124"/>
      <c r="C240" s="124"/>
      <c r="D240" s="124"/>
      <c r="E240" s="124"/>
      <c r="F240" s="124"/>
      <c r="G240" s="124"/>
      <c r="H240" s="124"/>
      <c r="I240" s="124"/>
      <c r="J240" s="124"/>
      <c r="K240" s="124"/>
      <c r="L240" s="124"/>
      <c r="M240" s="169"/>
      <c r="N240" s="170"/>
      <c r="O240" s="170"/>
      <c r="P240" s="170"/>
      <c r="Y240" s="348" t="s">
        <v>461</v>
      </c>
      <c r="Z240" s="348"/>
      <c r="AA240" s="348"/>
      <c r="AB240" s="348"/>
      <c r="AC240" s="4">
        <v>65</v>
      </c>
      <c r="AD240" s="4">
        <v>23</v>
      </c>
      <c r="AE240" s="39">
        <f t="shared" si="13"/>
        <v>23000</v>
      </c>
      <c r="AF240" s="4">
        <f t="shared" si="14"/>
        <v>65000000</v>
      </c>
      <c r="AG240" s="4">
        <f t="shared" si="15"/>
        <v>65023000</v>
      </c>
      <c r="AH240" s="96">
        <f t="shared" si="16"/>
        <v>65020500</v>
      </c>
      <c r="AI240" s="102">
        <f t="shared" si="17"/>
        <v>65020500</v>
      </c>
      <c r="AJ240" s="4">
        <f t="shared" si="18"/>
        <v>0</v>
      </c>
      <c r="AK240" s="4">
        <f t="shared" si="19"/>
        <v>0</v>
      </c>
    </row>
    <row r="241" spans="1:37" x14ac:dyDescent="0.2">
      <c r="A241" s="39"/>
      <c r="B241" s="124"/>
      <c r="C241" s="124"/>
      <c r="D241" s="124"/>
      <c r="E241" s="124"/>
      <c r="F241" s="124"/>
      <c r="G241" s="124"/>
      <c r="H241" s="124"/>
      <c r="I241" s="124"/>
      <c r="J241" s="124"/>
      <c r="K241" s="124"/>
      <c r="L241" s="124"/>
      <c r="M241" s="169"/>
      <c r="N241" s="170"/>
      <c r="O241" s="170"/>
      <c r="P241" s="170"/>
      <c r="Y241" s="348"/>
      <c r="Z241" s="348"/>
      <c r="AA241" s="348"/>
      <c r="AB241" s="348"/>
      <c r="AE241" s="39"/>
      <c r="AH241" s="96"/>
      <c r="AI241" s="102"/>
    </row>
    <row r="242" spans="1:37" x14ac:dyDescent="0.2">
      <c r="A242" s="39"/>
      <c r="B242" s="124"/>
      <c r="C242" s="124"/>
      <c r="D242" s="124"/>
      <c r="E242" s="124"/>
      <c r="F242" s="124"/>
      <c r="G242" s="124"/>
      <c r="H242" s="124"/>
      <c r="I242" s="124"/>
      <c r="J242" s="124"/>
      <c r="K242" s="124"/>
      <c r="L242" s="124"/>
      <c r="M242" s="169"/>
      <c r="N242" s="170"/>
      <c r="O242" s="170"/>
      <c r="P242" s="170"/>
      <c r="Y242" s="348"/>
      <c r="Z242" s="348"/>
      <c r="AA242" s="348"/>
      <c r="AB242" s="348"/>
      <c r="AE242" s="39"/>
      <c r="AH242" s="96"/>
      <c r="AI242" s="102"/>
    </row>
    <row r="243" spans="1:37" x14ac:dyDescent="0.2">
      <c r="A243" s="39"/>
      <c r="B243" s="124"/>
      <c r="C243" s="124"/>
      <c r="D243" s="124"/>
      <c r="E243" s="124"/>
      <c r="F243" s="124"/>
      <c r="G243" s="124"/>
      <c r="H243" s="124"/>
      <c r="I243" s="124"/>
      <c r="J243" s="124"/>
      <c r="K243" s="124"/>
      <c r="L243" s="124"/>
      <c r="M243" s="169"/>
      <c r="N243" s="170"/>
      <c r="O243" s="170"/>
      <c r="P243" s="170"/>
      <c r="Y243" s="348"/>
      <c r="Z243" s="348"/>
      <c r="AA243" s="348"/>
      <c r="AB243" s="348"/>
      <c r="AE243" s="39"/>
      <c r="AH243" s="96"/>
      <c r="AI243" s="102"/>
    </row>
    <row r="244" spans="1:37" x14ac:dyDescent="0.2">
      <c r="A244" s="39"/>
      <c r="B244" s="124"/>
      <c r="C244" s="124"/>
      <c r="D244" s="124"/>
      <c r="E244" s="124"/>
      <c r="F244" s="124"/>
      <c r="G244" s="124"/>
      <c r="H244" s="124"/>
      <c r="I244" s="124"/>
      <c r="J244" s="124"/>
      <c r="K244" s="124"/>
      <c r="L244" s="124"/>
      <c r="M244" s="169"/>
      <c r="N244" s="170"/>
      <c r="O244" s="170"/>
      <c r="P244" s="170"/>
      <c r="Y244" s="348"/>
      <c r="Z244" s="348"/>
      <c r="AA244" s="348"/>
      <c r="AB244" s="348"/>
      <c r="AE244" s="39"/>
      <c r="AH244" s="96"/>
      <c r="AI244" s="102"/>
    </row>
    <row r="245" spans="1:37" x14ac:dyDescent="0.2">
      <c r="A245" s="39"/>
      <c r="B245" s="124"/>
      <c r="C245" s="124"/>
      <c r="D245" s="124"/>
      <c r="E245" s="124"/>
      <c r="F245" s="124"/>
      <c r="G245" s="124"/>
      <c r="H245" s="124"/>
      <c r="I245" s="124"/>
      <c r="J245" s="124"/>
      <c r="K245" s="124"/>
      <c r="L245" s="124"/>
      <c r="M245" s="169"/>
      <c r="N245" s="170"/>
      <c r="O245" s="170"/>
      <c r="P245" s="170"/>
      <c r="Y245" s="348"/>
      <c r="Z245" s="348"/>
      <c r="AA245" s="348"/>
      <c r="AB245" s="348"/>
      <c r="AH245" s="96"/>
      <c r="AI245" s="102"/>
    </row>
    <row r="246" spans="1:37" x14ac:dyDescent="0.2">
      <c r="A246" s="39"/>
      <c r="B246" s="124"/>
      <c r="C246" s="124"/>
      <c r="D246" s="124"/>
      <c r="E246" s="124"/>
      <c r="F246" s="124"/>
      <c r="G246" s="124"/>
      <c r="H246" s="124"/>
      <c r="I246" s="124"/>
      <c r="J246" s="124"/>
      <c r="K246" s="124"/>
      <c r="L246" s="124"/>
      <c r="M246" s="169"/>
      <c r="N246" s="170"/>
      <c r="O246" s="170"/>
      <c r="P246" s="170"/>
      <c r="Y246" s="348" t="s">
        <v>453</v>
      </c>
      <c r="Z246" s="348"/>
      <c r="AA246" s="348"/>
      <c r="AB246" s="348"/>
      <c r="AC246" s="4">
        <v>80</v>
      </c>
      <c r="AD246" s="4">
        <v>2.2999999999999998</v>
      </c>
      <c r="AE246" s="4">
        <f t="shared" si="13"/>
        <v>2300</v>
      </c>
      <c r="AF246" s="4">
        <f t="shared" si="14"/>
        <v>80000000</v>
      </c>
      <c r="AG246" s="4">
        <f t="shared" si="15"/>
        <v>80002300</v>
      </c>
      <c r="AH246" s="96">
        <f t="shared" si="16"/>
        <v>79999800</v>
      </c>
      <c r="AI246" s="102">
        <f t="shared" si="17"/>
        <v>79999800</v>
      </c>
      <c r="AJ246" s="4">
        <f t="shared" si="18"/>
        <v>0</v>
      </c>
      <c r="AK246" s="4">
        <f t="shared" si="19"/>
        <v>0</v>
      </c>
    </row>
    <row r="247" spans="1:37" x14ac:dyDescent="0.2">
      <c r="A247" s="39"/>
      <c r="B247" s="124"/>
      <c r="C247" s="124"/>
      <c r="D247" s="124"/>
      <c r="E247" s="124"/>
      <c r="F247" s="124"/>
      <c r="G247" s="124"/>
      <c r="H247" s="124"/>
      <c r="I247" s="124"/>
      <c r="J247" s="124"/>
      <c r="K247" s="124"/>
      <c r="L247" s="124"/>
      <c r="M247" s="169"/>
      <c r="N247" s="170"/>
      <c r="O247" s="170"/>
      <c r="P247" s="170"/>
      <c r="Y247" s="348" t="s">
        <v>454</v>
      </c>
      <c r="Z247" s="348"/>
      <c r="AA247" s="348"/>
      <c r="AB247" s="348"/>
      <c r="AC247" s="4">
        <v>80</v>
      </c>
      <c r="AD247" s="4">
        <v>7.4</v>
      </c>
      <c r="AE247" s="4">
        <f t="shared" si="13"/>
        <v>7400</v>
      </c>
      <c r="AF247" s="4">
        <f t="shared" si="14"/>
        <v>80000000</v>
      </c>
      <c r="AG247" s="4">
        <f t="shared" si="15"/>
        <v>80007400</v>
      </c>
      <c r="AH247" s="96">
        <f t="shared" si="16"/>
        <v>80004900</v>
      </c>
      <c r="AI247" s="102">
        <f t="shared" si="17"/>
        <v>80004900</v>
      </c>
      <c r="AJ247" s="4">
        <f t="shared" si="18"/>
        <v>0</v>
      </c>
      <c r="AK247" s="4">
        <f t="shared" si="19"/>
        <v>0</v>
      </c>
    </row>
    <row r="248" spans="1:37" x14ac:dyDescent="0.2">
      <c r="A248" s="39"/>
      <c r="B248" s="124"/>
      <c r="C248" s="124"/>
      <c r="D248" s="124"/>
      <c r="E248" s="124"/>
      <c r="F248" s="124"/>
      <c r="G248" s="124"/>
      <c r="H248" s="124"/>
      <c r="I248" s="124"/>
      <c r="J248" s="124"/>
      <c r="K248" s="124"/>
      <c r="L248" s="124"/>
      <c r="M248" s="169"/>
      <c r="N248" s="170"/>
      <c r="O248" s="170"/>
      <c r="P248" s="170"/>
      <c r="Y248" s="348" t="s">
        <v>455</v>
      </c>
      <c r="Z248" s="348"/>
      <c r="AA248" s="348"/>
      <c r="AB248" s="348"/>
      <c r="AC248" s="4">
        <v>80</v>
      </c>
      <c r="AD248" s="4">
        <v>9.6</v>
      </c>
      <c r="AE248" s="4">
        <f t="shared" si="13"/>
        <v>9600</v>
      </c>
      <c r="AF248" s="4">
        <f t="shared" si="14"/>
        <v>80000000</v>
      </c>
      <c r="AG248" s="4">
        <f t="shared" si="15"/>
        <v>80009600</v>
      </c>
      <c r="AH248" s="96">
        <f t="shared" si="16"/>
        <v>80007100</v>
      </c>
      <c r="AI248" s="102">
        <f t="shared" si="17"/>
        <v>80007100</v>
      </c>
      <c r="AJ248" s="4">
        <f t="shared" si="18"/>
        <v>0</v>
      </c>
      <c r="AK248" s="4">
        <f t="shared" si="19"/>
        <v>0</v>
      </c>
    </row>
    <row r="249" spans="1:37" x14ac:dyDescent="0.2">
      <c r="A249" s="39"/>
      <c r="B249" s="124"/>
      <c r="C249" s="124"/>
      <c r="D249" s="124"/>
      <c r="E249" s="124"/>
      <c r="F249" s="124"/>
      <c r="G249" s="124"/>
      <c r="H249" s="124"/>
      <c r="I249" s="124"/>
      <c r="J249" s="124"/>
      <c r="K249" s="124"/>
      <c r="L249" s="124"/>
      <c r="M249" s="169"/>
      <c r="N249" s="170"/>
      <c r="O249" s="170"/>
      <c r="P249" s="170"/>
      <c r="Y249" s="348" t="s">
        <v>417</v>
      </c>
      <c r="Z249" s="348"/>
      <c r="AA249" s="348"/>
      <c r="AB249" s="348"/>
      <c r="AC249" s="4">
        <v>80</v>
      </c>
      <c r="AD249" s="4">
        <v>14.6</v>
      </c>
      <c r="AE249" s="4">
        <f t="shared" si="13"/>
        <v>14600</v>
      </c>
      <c r="AF249" s="4">
        <f t="shared" si="14"/>
        <v>80000000</v>
      </c>
      <c r="AG249" s="4">
        <f t="shared" si="15"/>
        <v>80014600</v>
      </c>
      <c r="AH249" s="96">
        <f t="shared" si="16"/>
        <v>80012100</v>
      </c>
      <c r="AI249" s="102">
        <f t="shared" si="17"/>
        <v>80012100</v>
      </c>
      <c r="AJ249" s="4">
        <f t="shared" si="18"/>
        <v>0</v>
      </c>
      <c r="AK249" s="4">
        <f t="shared" si="19"/>
        <v>0</v>
      </c>
    </row>
    <row r="250" spans="1:37" x14ac:dyDescent="0.2">
      <c r="A250" s="39"/>
      <c r="B250" s="124"/>
      <c r="C250" s="124"/>
      <c r="D250" s="124"/>
      <c r="E250" s="124"/>
      <c r="F250" s="124"/>
      <c r="G250" s="124"/>
      <c r="H250" s="124"/>
      <c r="I250" s="124"/>
      <c r="J250" s="124"/>
      <c r="K250" s="124"/>
      <c r="L250" s="124"/>
      <c r="M250" s="169"/>
      <c r="N250" s="170"/>
      <c r="O250" s="170"/>
      <c r="P250" s="170"/>
      <c r="Y250" s="348" t="s">
        <v>418</v>
      </c>
      <c r="Z250" s="348"/>
      <c r="AA250" s="348"/>
      <c r="AB250" s="348"/>
      <c r="AC250" s="4">
        <v>80</v>
      </c>
      <c r="AD250" s="4">
        <v>18.100000000000001</v>
      </c>
      <c r="AE250" s="4">
        <f t="shared" si="13"/>
        <v>18100</v>
      </c>
      <c r="AF250" s="4">
        <f t="shared" si="14"/>
        <v>80000000</v>
      </c>
      <c r="AG250" s="4">
        <f t="shared" si="15"/>
        <v>80018100</v>
      </c>
      <c r="AH250" s="96">
        <f t="shared" si="16"/>
        <v>80015600</v>
      </c>
      <c r="AI250" s="102">
        <f t="shared" si="17"/>
        <v>80015600</v>
      </c>
      <c r="AJ250" s="4">
        <f t="shared" si="18"/>
        <v>0</v>
      </c>
      <c r="AK250" s="4">
        <f t="shared" si="19"/>
        <v>0</v>
      </c>
    </row>
    <row r="251" spans="1:37" x14ac:dyDescent="0.2">
      <c r="A251" s="39"/>
      <c r="B251" s="124"/>
      <c r="C251" s="124"/>
      <c r="D251" s="124"/>
      <c r="E251" s="124"/>
      <c r="F251" s="124"/>
      <c r="G251" s="124"/>
      <c r="H251" s="124"/>
      <c r="I251" s="124"/>
      <c r="J251" s="124"/>
      <c r="K251" s="124"/>
      <c r="L251" s="124"/>
      <c r="M251" s="169"/>
      <c r="N251" s="170"/>
      <c r="O251" s="170"/>
      <c r="P251" s="170"/>
      <c r="Y251" s="348" t="s">
        <v>463</v>
      </c>
      <c r="Z251" s="348"/>
      <c r="AA251" s="348"/>
      <c r="AB251" s="348"/>
      <c r="AC251" s="4">
        <v>80</v>
      </c>
      <c r="AD251" s="4">
        <v>18.8</v>
      </c>
      <c r="AE251" s="4">
        <f t="shared" si="13"/>
        <v>18800</v>
      </c>
      <c r="AF251" s="4">
        <f t="shared" si="14"/>
        <v>80000000</v>
      </c>
      <c r="AG251" s="4">
        <f t="shared" si="15"/>
        <v>80018800</v>
      </c>
      <c r="AH251" s="96">
        <f t="shared" si="16"/>
        <v>80016300</v>
      </c>
      <c r="AI251" s="102">
        <f t="shared" si="17"/>
        <v>80016300</v>
      </c>
      <c r="AJ251" s="4">
        <f t="shared" si="18"/>
        <v>0</v>
      </c>
      <c r="AK251" s="4">
        <f t="shared" si="19"/>
        <v>0</v>
      </c>
    </row>
    <row r="252" spans="1:37" x14ac:dyDescent="0.2">
      <c r="A252" s="39"/>
      <c r="B252" s="124"/>
      <c r="C252" s="124"/>
      <c r="D252" s="124"/>
      <c r="E252" s="124"/>
      <c r="F252" s="124"/>
      <c r="G252" s="124"/>
      <c r="H252" s="124"/>
      <c r="I252" s="124"/>
      <c r="J252" s="124"/>
      <c r="K252" s="124"/>
      <c r="L252" s="124"/>
      <c r="M252" s="169"/>
      <c r="N252" s="170"/>
      <c r="O252" s="170"/>
      <c r="P252" s="170"/>
      <c r="Y252" s="348" t="s">
        <v>460</v>
      </c>
      <c r="Z252" s="348"/>
      <c r="AA252" s="348"/>
      <c r="AB252" s="348"/>
      <c r="AC252" s="4">
        <v>80</v>
      </c>
      <c r="AD252" s="4">
        <v>23</v>
      </c>
      <c r="AE252" s="4">
        <f t="shared" si="13"/>
        <v>23000</v>
      </c>
      <c r="AF252" s="4">
        <f t="shared" si="14"/>
        <v>80000000</v>
      </c>
      <c r="AG252" s="4">
        <f t="shared" si="15"/>
        <v>80023000</v>
      </c>
      <c r="AH252" s="96">
        <f t="shared" si="16"/>
        <v>80020500</v>
      </c>
      <c r="AI252" s="102">
        <f t="shared" si="17"/>
        <v>80020500</v>
      </c>
      <c r="AJ252" s="4">
        <f t="shared" si="18"/>
        <v>0</v>
      </c>
      <c r="AK252" s="4">
        <f t="shared" si="19"/>
        <v>0</v>
      </c>
    </row>
    <row r="253" spans="1:37" x14ac:dyDescent="0.2">
      <c r="A253" s="39"/>
      <c r="B253" s="124"/>
      <c r="C253" s="124"/>
      <c r="D253" s="124"/>
      <c r="E253" s="124"/>
      <c r="F253" s="124"/>
      <c r="G253" s="124"/>
      <c r="H253" s="124"/>
      <c r="I253" s="124"/>
      <c r="J253" s="124"/>
      <c r="K253" s="124"/>
      <c r="L253" s="124"/>
      <c r="M253" s="169"/>
      <c r="N253" s="170"/>
      <c r="O253" s="170"/>
      <c r="P253" s="170"/>
      <c r="Y253" s="348"/>
      <c r="Z253" s="348"/>
      <c r="AA253" s="348"/>
      <c r="AB253" s="348"/>
      <c r="AH253" s="96"/>
      <c r="AI253" s="102"/>
    </row>
    <row r="254" spans="1:37" x14ac:dyDescent="0.2">
      <c r="A254" s="39"/>
      <c r="B254" s="124"/>
      <c r="C254" s="124"/>
      <c r="D254" s="124"/>
      <c r="E254" s="124"/>
      <c r="F254" s="124"/>
      <c r="G254" s="124"/>
      <c r="H254" s="124"/>
      <c r="I254" s="124"/>
      <c r="J254" s="124"/>
      <c r="K254" s="124"/>
      <c r="L254" s="124"/>
      <c r="M254" s="169"/>
      <c r="N254" s="170"/>
      <c r="O254" s="170"/>
      <c r="P254" s="170"/>
      <c r="Y254" s="348"/>
      <c r="Z254" s="348"/>
      <c r="AA254" s="348"/>
      <c r="AB254" s="348"/>
      <c r="AH254" s="96"/>
      <c r="AI254" s="102"/>
    </row>
    <row r="255" spans="1:37" x14ac:dyDescent="0.2">
      <c r="A255" s="39"/>
      <c r="B255" s="124"/>
      <c r="C255" s="124"/>
      <c r="D255" s="124"/>
      <c r="E255" s="124"/>
      <c r="F255" s="124"/>
      <c r="G255" s="124"/>
      <c r="H255" s="124"/>
      <c r="I255" s="124"/>
      <c r="J255" s="124"/>
      <c r="K255" s="124"/>
      <c r="L255" s="124"/>
      <c r="M255" s="169"/>
      <c r="N255" s="170"/>
      <c r="O255" s="170"/>
      <c r="P255" s="170"/>
      <c r="Y255" s="348"/>
      <c r="Z255" s="348"/>
      <c r="AA255" s="348"/>
      <c r="AB255" s="348"/>
      <c r="AH255" s="96"/>
      <c r="AI255" s="102"/>
    </row>
    <row r="256" spans="1:37" x14ac:dyDescent="0.2">
      <c r="A256" s="39"/>
      <c r="B256" s="124"/>
      <c r="C256" s="124"/>
      <c r="D256" s="124"/>
      <c r="E256" s="124"/>
      <c r="F256" s="124"/>
      <c r="G256" s="124"/>
      <c r="H256" s="124"/>
      <c r="I256" s="124"/>
      <c r="J256" s="124"/>
      <c r="K256" s="124"/>
      <c r="L256" s="124"/>
      <c r="M256" s="169"/>
      <c r="N256" s="170"/>
      <c r="O256" s="170"/>
      <c r="P256" s="170"/>
      <c r="Y256" s="348"/>
      <c r="Z256" s="348"/>
      <c r="AA256" s="348"/>
      <c r="AB256" s="348"/>
      <c r="AH256" s="96"/>
      <c r="AI256" s="102"/>
    </row>
    <row r="257" spans="1:37" x14ac:dyDescent="0.2">
      <c r="A257" s="39"/>
      <c r="B257" s="124"/>
      <c r="C257" s="124"/>
      <c r="D257" s="124"/>
      <c r="E257" s="124"/>
      <c r="F257" s="124"/>
      <c r="G257" s="124"/>
      <c r="H257" s="124"/>
      <c r="I257" s="124"/>
      <c r="J257" s="124"/>
      <c r="K257" s="124"/>
      <c r="L257" s="124"/>
      <c r="M257" s="169"/>
      <c r="N257" s="170"/>
      <c r="O257" s="170"/>
      <c r="P257" s="170"/>
      <c r="Y257" s="348"/>
      <c r="Z257" s="348"/>
      <c r="AA257" s="348"/>
      <c r="AB257" s="348"/>
      <c r="AH257" s="96"/>
      <c r="AI257" s="102"/>
    </row>
    <row r="258" spans="1:37" x14ac:dyDescent="0.2">
      <c r="A258" s="39"/>
      <c r="B258" s="124"/>
      <c r="C258" s="124"/>
      <c r="D258" s="124"/>
      <c r="E258" s="124"/>
      <c r="F258" s="124"/>
      <c r="G258" s="124"/>
      <c r="H258" s="124"/>
      <c r="I258" s="124"/>
      <c r="J258" s="124"/>
      <c r="K258" s="124"/>
      <c r="L258" s="124"/>
      <c r="M258" s="169"/>
      <c r="N258" s="170"/>
      <c r="O258" s="170"/>
      <c r="P258" s="170"/>
      <c r="Y258" s="348" t="s">
        <v>456</v>
      </c>
      <c r="Z258" s="348"/>
      <c r="AA258" s="348"/>
      <c r="AB258" s="348"/>
      <c r="AC258" s="4">
        <v>100</v>
      </c>
      <c r="AD258" s="4">
        <v>2.2999999999999998</v>
      </c>
      <c r="AE258" s="4">
        <f t="shared" ref="AE258:AE264" si="20">AD258*1000</f>
        <v>2300</v>
      </c>
      <c r="AF258" s="4">
        <f t="shared" ref="AF258:AF264" si="21">AC258*1000000</f>
        <v>100000000</v>
      </c>
      <c r="AG258" s="4">
        <f t="shared" ref="AG258:AG264" si="22">AE258+AF258</f>
        <v>100002300</v>
      </c>
      <c r="AH258" s="96">
        <f t="shared" ref="AH258:AH264" si="23">AG258-$R$149</f>
        <v>99999800</v>
      </c>
      <c r="AI258" s="102">
        <f t="shared" ref="AI258:AI264" si="24">IF(AH258&gt;-1,AH258,15000)</f>
        <v>99999800</v>
      </c>
      <c r="AJ258" s="4">
        <f t="shared" ref="AJ258:AJ264" si="25">IF(AI258=$AI$274,1,0)</f>
        <v>0</v>
      </c>
      <c r="AK258" s="4">
        <f t="shared" ref="AK258:AK264" si="26">IF(AJ258=1,AD258,0)</f>
        <v>0</v>
      </c>
    </row>
    <row r="259" spans="1:37" x14ac:dyDescent="0.2">
      <c r="A259" s="39"/>
      <c r="I259" s="38"/>
      <c r="J259" s="38"/>
      <c r="K259" s="38"/>
      <c r="L259" s="38"/>
      <c r="M259" s="38"/>
      <c r="N259" s="38"/>
      <c r="O259" s="170"/>
      <c r="P259" s="170"/>
      <c r="Y259" s="348" t="s">
        <v>457</v>
      </c>
      <c r="Z259" s="348"/>
      <c r="AA259" s="348"/>
      <c r="AB259" s="348"/>
      <c r="AC259" s="4">
        <v>100</v>
      </c>
      <c r="AD259" s="4">
        <v>7.4</v>
      </c>
      <c r="AE259" s="4">
        <f t="shared" si="20"/>
        <v>7400</v>
      </c>
      <c r="AF259" s="4">
        <f t="shared" si="21"/>
        <v>100000000</v>
      </c>
      <c r="AG259" s="4">
        <f t="shared" si="22"/>
        <v>100007400</v>
      </c>
      <c r="AH259" s="96">
        <f t="shared" si="23"/>
        <v>100004900</v>
      </c>
      <c r="AI259" s="102">
        <f t="shared" si="24"/>
        <v>100004900</v>
      </c>
      <c r="AJ259" s="4">
        <f t="shared" si="25"/>
        <v>0</v>
      </c>
      <c r="AK259" s="4">
        <f t="shared" si="26"/>
        <v>0</v>
      </c>
    </row>
    <row r="260" spans="1:37" x14ac:dyDescent="0.2">
      <c r="A260" s="39"/>
      <c r="I260" s="38"/>
      <c r="J260" s="38"/>
      <c r="K260" s="38"/>
      <c r="L260" s="38"/>
      <c r="M260" s="38"/>
      <c r="N260" s="38"/>
      <c r="O260" s="170"/>
      <c r="P260" s="170"/>
      <c r="Y260" s="348" t="s">
        <v>458</v>
      </c>
      <c r="Z260" s="348"/>
      <c r="AA260" s="348"/>
      <c r="AB260" s="348"/>
      <c r="AC260" s="4">
        <v>100</v>
      </c>
      <c r="AD260" s="4">
        <v>9.6</v>
      </c>
      <c r="AE260" s="4">
        <f t="shared" si="20"/>
        <v>9600</v>
      </c>
      <c r="AF260" s="4">
        <f t="shared" si="21"/>
        <v>100000000</v>
      </c>
      <c r="AG260" s="4">
        <f t="shared" si="22"/>
        <v>100009600</v>
      </c>
      <c r="AH260" s="96">
        <f t="shared" si="23"/>
        <v>100007100</v>
      </c>
      <c r="AI260" s="102">
        <f t="shared" si="24"/>
        <v>100007100</v>
      </c>
      <c r="AJ260" s="4">
        <f t="shared" si="25"/>
        <v>0</v>
      </c>
      <c r="AK260" s="4">
        <f t="shared" si="26"/>
        <v>0</v>
      </c>
    </row>
    <row r="261" spans="1:37" x14ac:dyDescent="0.2">
      <c r="A261" s="38"/>
      <c r="O261" s="38"/>
      <c r="P261" s="38"/>
      <c r="Y261" s="348" t="s">
        <v>419</v>
      </c>
      <c r="Z261" s="348"/>
      <c r="AA261" s="348"/>
      <c r="AB261" s="348"/>
      <c r="AC261" s="4">
        <v>100</v>
      </c>
      <c r="AD261" s="4">
        <v>14.6</v>
      </c>
      <c r="AE261" s="4">
        <f t="shared" si="20"/>
        <v>14600</v>
      </c>
      <c r="AF261" s="4">
        <f t="shared" si="21"/>
        <v>100000000</v>
      </c>
      <c r="AG261" s="4">
        <f t="shared" si="22"/>
        <v>100014600</v>
      </c>
      <c r="AH261" s="96">
        <f t="shared" si="23"/>
        <v>100012100</v>
      </c>
      <c r="AI261" s="102">
        <f t="shared" si="24"/>
        <v>100012100</v>
      </c>
      <c r="AJ261" s="4">
        <f t="shared" si="25"/>
        <v>0</v>
      </c>
      <c r="AK261" s="4">
        <f t="shared" si="26"/>
        <v>0</v>
      </c>
    </row>
    <row r="262" spans="1:37" x14ac:dyDescent="0.2">
      <c r="A262" s="38"/>
      <c r="O262" s="38"/>
      <c r="P262" s="38"/>
      <c r="Y262" s="348" t="s">
        <v>420</v>
      </c>
      <c r="Z262" s="348"/>
      <c r="AA262" s="348"/>
      <c r="AB262" s="348"/>
      <c r="AC262" s="4">
        <v>100</v>
      </c>
      <c r="AD262" s="4">
        <v>18.100000000000001</v>
      </c>
      <c r="AE262" s="4">
        <f t="shared" si="20"/>
        <v>18100</v>
      </c>
      <c r="AF262" s="4">
        <f t="shared" si="21"/>
        <v>100000000</v>
      </c>
      <c r="AG262" s="4">
        <f t="shared" si="22"/>
        <v>100018100</v>
      </c>
      <c r="AH262" s="96">
        <f t="shared" si="23"/>
        <v>100015600</v>
      </c>
      <c r="AI262" s="102">
        <f t="shared" si="24"/>
        <v>100015600</v>
      </c>
      <c r="AJ262" s="4">
        <f t="shared" si="25"/>
        <v>0</v>
      </c>
      <c r="AK262" s="4">
        <f t="shared" si="26"/>
        <v>0</v>
      </c>
    </row>
    <row r="263" spans="1:37" x14ac:dyDescent="0.2">
      <c r="Y263" s="348" t="s">
        <v>464</v>
      </c>
      <c r="Z263" s="348"/>
      <c r="AA263" s="348"/>
      <c r="AB263" s="348"/>
      <c r="AC263" s="4">
        <v>100</v>
      </c>
      <c r="AD263" s="4">
        <v>18.8</v>
      </c>
      <c r="AE263" s="4">
        <f t="shared" si="20"/>
        <v>18800</v>
      </c>
      <c r="AF263" s="4">
        <f t="shared" si="21"/>
        <v>100000000</v>
      </c>
      <c r="AG263" s="4">
        <f t="shared" si="22"/>
        <v>100018800</v>
      </c>
      <c r="AH263" s="96">
        <f t="shared" si="23"/>
        <v>100016300</v>
      </c>
      <c r="AI263" s="102">
        <f t="shared" si="24"/>
        <v>100016300</v>
      </c>
      <c r="AJ263" s="4">
        <f t="shared" si="25"/>
        <v>0</v>
      </c>
      <c r="AK263" s="4">
        <f t="shared" si="26"/>
        <v>0</v>
      </c>
    </row>
    <row r="264" spans="1:37" x14ac:dyDescent="0.2">
      <c r="Y264" s="348" t="s">
        <v>459</v>
      </c>
      <c r="Z264" s="348"/>
      <c r="AA264" s="348"/>
      <c r="AB264" s="348"/>
      <c r="AC264" s="4">
        <v>100</v>
      </c>
      <c r="AD264" s="4">
        <v>23</v>
      </c>
      <c r="AE264" s="4">
        <f t="shared" si="20"/>
        <v>23000</v>
      </c>
      <c r="AF264" s="4">
        <f t="shared" si="21"/>
        <v>100000000</v>
      </c>
      <c r="AG264" s="4">
        <f t="shared" si="22"/>
        <v>100023000</v>
      </c>
      <c r="AH264" s="96">
        <f t="shared" si="23"/>
        <v>100020500</v>
      </c>
      <c r="AI264" s="102">
        <f t="shared" si="24"/>
        <v>100020500</v>
      </c>
      <c r="AJ264" s="4">
        <f t="shared" si="25"/>
        <v>0</v>
      </c>
      <c r="AK264" s="4">
        <f t="shared" si="26"/>
        <v>0</v>
      </c>
    </row>
    <row r="265" spans="1:37" x14ac:dyDescent="0.2">
      <c r="Y265" s="348"/>
      <c r="Z265" s="348"/>
      <c r="AA265" s="348"/>
      <c r="AB265" s="348"/>
      <c r="AH265" s="96"/>
      <c r="AI265" s="102"/>
    </row>
    <row r="266" spans="1:37" x14ac:dyDescent="0.2">
      <c r="Y266" s="348"/>
      <c r="Z266" s="348"/>
      <c r="AA266" s="348"/>
      <c r="AB266" s="348"/>
      <c r="AH266" s="96"/>
      <c r="AI266" s="102"/>
    </row>
    <row r="267" spans="1:37" x14ac:dyDescent="0.2">
      <c r="Y267" s="348"/>
      <c r="Z267" s="348"/>
      <c r="AA267" s="348"/>
      <c r="AB267" s="348"/>
      <c r="AH267" s="96"/>
      <c r="AI267" s="102"/>
    </row>
    <row r="268" spans="1:37" x14ac:dyDescent="0.2">
      <c r="Y268" s="348"/>
      <c r="Z268" s="348"/>
      <c r="AA268" s="348"/>
      <c r="AB268" s="348"/>
      <c r="AH268" s="96"/>
      <c r="AI268" s="102"/>
    </row>
    <row r="269" spans="1:37" x14ac:dyDescent="0.2">
      <c r="Y269" s="348"/>
      <c r="Z269" s="348"/>
      <c r="AA269" s="348"/>
      <c r="AB269" s="348"/>
      <c r="AH269" s="96"/>
      <c r="AI269" s="102"/>
    </row>
    <row r="270" spans="1:37" x14ac:dyDescent="0.2">
      <c r="Y270" s="348"/>
      <c r="Z270" s="348"/>
      <c r="AA270" s="348"/>
      <c r="AB270" s="348"/>
      <c r="AH270" s="96"/>
      <c r="AI270" s="102"/>
    </row>
    <row r="271" spans="1:37" x14ac:dyDescent="0.2">
      <c r="Y271" s="348"/>
      <c r="Z271" s="348"/>
      <c r="AA271" s="348"/>
      <c r="AB271" s="348"/>
      <c r="AH271" s="96"/>
      <c r="AI271" s="102"/>
    </row>
    <row r="272" spans="1:37" x14ac:dyDescent="0.2">
      <c r="Y272" s="348"/>
      <c r="Z272" s="348"/>
      <c r="AA272" s="348"/>
      <c r="AB272" s="348"/>
      <c r="AH272" s="96"/>
      <c r="AI272" s="102"/>
    </row>
    <row r="273" spans="25:37" x14ac:dyDescent="0.2">
      <c r="Y273" s="348"/>
      <c r="Z273" s="348"/>
      <c r="AA273" s="348"/>
      <c r="AB273" s="348"/>
      <c r="AH273" s="96"/>
      <c r="AI273" s="102"/>
    </row>
    <row r="274" spans="25:37" x14ac:dyDescent="0.2">
      <c r="AI274" s="102">
        <f>MIN(AI128:AI273)</f>
        <v>3998100</v>
      </c>
      <c r="AJ274" s="102">
        <f>MIN(AJ128:AJ273)</f>
        <v>0</v>
      </c>
      <c r="AK274" s="103">
        <f>SUM(AK128:AK273)</f>
        <v>0.6</v>
      </c>
    </row>
  </sheetData>
  <mergeCells count="241">
    <mergeCell ref="F84:P84"/>
    <mergeCell ref="N85:P85"/>
    <mergeCell ref="F87:G87"/>
    <mergeCell ref="F86:G86"/>
    <mergeCell ref="O71:P71"/>
    <mergeCell ref="Y162:AB162"/>
    <mergeCell ref="R148:S148"/>
    <mergeCell ref="R149:S149"/>
    <mergeCell ref="H158:I158"/>
    <mergeCell ref="J158:K158"/>
    <mergeCell ref="C87:E87"/>
    <mergeCell ref="C88:E88"/>
    <mergeCell ref="K86:M86"/>
    <mergeCell ref="K87:M87"/>
    <mergeCell ref="K88:M88"/>
    <mergeCell ref="B160:P160"/>
    <mergeCell ref="N86:P86"/>
    <mergeCell ref="N87:P87"/>
    <mergeCell ref="N88:P88"/>
    <mergeCell ref="H86:J86"/>
    <mergeCell ref="C82:E85"/>
    <mergeCell ref="F85:G85"/>
    <mergeCell ref="H85:J85"/>
    <mergeCell ref="K85:M85"/>
    <mergeCell ref="F82:P82"/>
    <mergeCell ref="F83:P83"/>
    <mergeCell ref="Y218:AB218"/>
    <mergeCell ref="Y219:AB219"/>
    <mergeCell ref="Y220:AB220"/>
    <mergeCell ref="Y216:AB216"/>
    <mergeCell ref="Y212:AB212"/>
    <mergeCell ref="Y213:AB213"/>
    <mergeCell ref="Y214:AB214"/>
    <mergeCell ref="Y215:AB215"/>
    <mergeCell ref="Y227:AB227"/>
    <mergeCell ref="Y221:AB221"/>
    <mergeCell ref="Y222:AB222"/>
    <mergeCell ref="Y223:AB223"/>
    <mergeCell ref="Y224:AB224"/>
    <mergeCell ref="Y226:AB226"/>
    <mergeCell ref="Y225:AB225"/>
    <mergeCell ref="Y203:AB203"/>
    <mergeCell ref="Y204:AB204"/>
    <mergeCell ref="Y205:AB205"/>
    <mergeCell ref="Y206:AB206"/>
    <mergeCell ref="Y202:AB202"/>
    <mergeCell ref="Y207:AB207"/>
    <mergeCell ref="Y208:AB208"/>
    <mergeCell ref="Y209:AB209"/>
    <mergeCell ref="Y217:AB217"/>
    <mergeCell ref="C44:D44"/>
    <mergeCell ref="C45:D45"/>
    <mergeCell ref="C46:D46"/>
    <mergeCell ref="D34:E34"/>
    <mergeCell ref="D37:D38"/>
    <mergeCell ref="E37:E38"/>
    <mergeCell ref="B124:D125"/>
    <mergeCell ref="F118:G118"/>
    <mergeCell ref="R147:S147"/>
    <mergeCell ref="G122:H122"/>
    <mergeCell ref="E120:F120"/>
    <mergeCell ref="I120:J120"/>
    <mergeCell ref="K72:L72"/>
    <mergeCell ref="G116:K116"/>
    <mergeCell ref="M72:N72"/>
    <mergeCell ref="M73:N73"/>
    <mergeCell ref="K73:L73"/>
    <mergeCell ref="C93:J93"/>
    <mergeCell ref="F78:G78"/>
    <mergeCell ref="F88:G88"/>
    <mergeCell ref="C80:K80"/>
    <mergeCell ref="C86:E86"/>
    <mergeCell ref="H87:J87"/>
    <mergeCell ref="H88:J88"/>
    <mergeCell ref="H24:O24"/>
    <mergeCell ref="M63:P63"/>
    <mergeCell ref="J37:J38"/>
    <mergeCell ref="L37:L38"/>
    <mergeCell ref="M37:M38"/>
    <mergeCell ref="N37:N38"/>
    <mergeCell ref="O72:P72"/>
    <mergeCell ref="O73:P73"/>
    <mergeCell ref="F9:M9"/>
    <mergeCell ref="F10:M10"/>
    <mergeCell ref="F12:M12"/>
    <mergeCell ref="F11:O11"/>
    <mergeCell ref="F37:F38"/>
    <mergeCell ref="G37:G38"/>
    <mergeCell ref="K37:K38"/>
    <mergeCell ref="O37:O38"/>
    <mergeCell ref="H37:H38"/>
    <mergeCell ref="I37:I38"/>
    <mergeCell ref="B64:D65"/>
    <mergeCell ref="M70:N70"/>
    <mergeCell ref="M71:N71"/>
    <mergeCell ref="F66:G66"/>
    <mergeCell ref="C68:K68"/>
    <mergeCell ref="K70:L70"/>
    <mergeCell ref="K71:L71"/>
    <mergeCell ref="B1:D2"/>
    <mergeCell ref="E1:N2"/>
    <mergeCell ref="M53:O53"/>
    <mergeCell ref="H42:I42"/>
    <mergeCell ref="M52:N52"/>
    <mergeCell ref="H26:O27"/>
    <mergeCell ref="F13:M13"/>
    <mergeCell ref="F14:M14"/>
    <mergeCell ref="E32:F32"/>
    <mergeCell ref="D36:K36"/>
    <mergeCell ref="O1:P3"/>
    <mergeCell ref="E64:N65"/>
    <mergeCell ref="O64:P66"/>
    <mergeCell ref="F19:N19"/>
    <mergeCell ref="F20:N20"/>
    <mergeCell ref="F18:H18"/>
    <mergeCell ref="J18:M18"/>
    <mergeCell ref="Y130:AB130"/>
    <mergeCell ref="Y131:AB131"/>
    <mergeCell ref="Y132:AB132"/>
    <mergeCell ref="Y133:AB133"/>
    <mergeCell ref="Y126:AB126"/>
    <mergeCell ref="Y127:AB127"/>
    <mergeCell ref="Y128:AB128"/>
    <mergeCell ref="E124:N125"/>
    <mergeCell ref="O124:P126"/>
    <mergeCell ref="Y129:AB129"/>
    <mergeCell ref="Y137:AB137"/>
    <mergeCell ref="Y138:AB138"/>
    <mergeCell ref="Y139:AB139"/>
    <mergeCell ref="Y140:AB140"/>
    <mergeCell ref="Y146:AB146"/>
    <mergeCell ref="Y147:AB147"/>
    <mergeCell ref="Y134:AB134"/>
    <mergeCell ref="Y135:AB135"/>
    <mergeCell ref="Y136:AB136"/>
    <mergeCell ref="Y141:AB141"/>
    <mergeCell ref="Y142:AB142"/>
    <mergeCell ref="Y143:AB143"/>
    <mergeCell ref="Y144:AB144"/>
    <mergeCell ref="Y159:AB159"/>
    <mergeCell ref="Y149:AB149"/>
    <mergeCell ref="Y150:AB150"/>
    <mergeCell ref="Y151:AB151"/>
    <mergeCell ref="Y153:AB153"/>
    <mergeCell ref="Y152:AB152"/>
    <mergeCell ref="Y145:AB145"/>
    <mergeCell ref="Y161:AB161"/>
    <mergeCell ref="Y173:AB173"/>
    <mergeCell ref="Y167:AB167"/>
    <mergeCell ref="Y188:AB188"/>
    <mergeCell ref="Y168:AB168"/>
    <mergeCell ref="Y169:AB169"/>
    <mergeCell ref="Y174:AB174"/>
    <mergeCell ref="Y163:AB163"/>
    <mergeCell ref="Y160:AB160"/>
    <mergeCell ref="Y157:AB157"/>
    <mergeCell ref="Y158:AB158"/>
    <mergeCell ref="Y156:AB156"/>
    <mergeCell ref="Y154:AB154"/>
    <mergeCell ref="Y155:AB155"/>
    <mergeCell ref="Y148:AB148"/>
    <mergeCell ref="Y185:AB185"/>
    <mergeCell ref="Y186:AB186"/>
    <mergeCell ref="Y187:AB187"/>
    <mergeCell ref="Y164:AB164"/>
    <mergeCell ref="Y179:AB179"/>
    <mergeCell ref="Y228:AB228"/>
    <mergeCell ref="Y229:AB229"/>
    <mergeCell ref="Y230:AB230"/>
    <mergeCell ref="Y231:AB231"/>
    <mergeCell ref="Y175:AB175"/>
    <mergeCell ref="Y176:AB176"/>
    <mergeCell ref="Y177:AB177"/>
    <mergeCell ref="Y178:AB178"/>
    <mergeCell ref="Y191:AB191"/>
    <mergeCell ref="Y189:AB189"/>
    <mergeCell ref="Y190:AB190"/>
    <mergeCell ref="Y192:AB192"/>
    <mergeCell ref="Y193:AB193"/>
    <mergeCell ref="Y194:AB194"/>
    <mergeCell ref="Y211:AB211"/>
    <mergeCell ref="Y195:AB195"/>
    <mergeCell ref="Y196:AB196"/>
    <mergeCell ref="Y197:AB197"/>
    <mergeCell ref="Y198:AB198"/>
    <mergeCell ref="Y200:AB200"/>
    <mergeCell ref="Y201:AB201"/>
    <mergeCell ref="Y210:AB210"/>
    <mergeCell ref="Y240:AB240"/>
    <mergeCell ref="Y232:AB232"/>
    <mergeCell ref="Y233:AB233"/>
    <mergeCell ref="Y234:AB234"/>
    <mergeCell ref="Y235:AB235"/>
    <mergeCell ref="Y236:AB236"/>
    <mergeCell ref="Y237:AB237"/>
    <mergeCell ref="Y238:AB238"/>
    <mergeCell ref="Y239:AB239"/>
    <mergeCell ref="Y257:AB257"/>
    <mergeCell ref="Y258:AB258"/>
    <mergeCell ref="Y241:AB241"/>
    <mergeCell ref="Y242:AB242"/>
    <mergeCell ref="Y243:AB243"/>
    <mergeCell ref="Y249:AB249"/>
    <mergeCell ref="Y248:AB248"/>
    <mergeCell ref="Y244:AB244"/>
    <mergeCell ref="Y245:AB245"/>
    <mergeCell ref="Y246:AB246"/>
    <mergeCell ref="Y247:AB247"/>
    <mergeCell ref="Y271:AB271"/>
    <mergeCell ref="Y272:AB272"/>
    <mergeCell ref="Y273:AB273"/>
    <mergeCell ref="Y266:AB266"/>
    <mergeCell ref="Y267:AB267"/>
    <mergeCell ref="Y268:AB268"/>
    <mergeCell ref="Y269:AB269"/>
    <mergeCell ref="Y270:AB270"/>
    <mergeCell ref="Y262:AB262"/>
    <mergeCell ref="Y180:AB180"/>
    <mergeCell ref="Y165:AB165"/>
    <mergeCell ref="Y166:AB166"/>
    <mergeCell ref="Y171:AB171"/>
    <mergeCell ref="Y172:AB172"/>
    <mergeCell ref="Y170:AB170"/>
    <mergeCell ref="Y263:AB263"/>
    <mergeCell ref="Y264:AB264"/>
    <mergeCell ref="Y265:AB265"/>
    <mergeCell ref="Y261:AB261"/>
    <mergeCell ref="Y181:AB181"/>
    <mergeCell ref="Y199:AB199"/>
    <mergeCell ref="Y182:AB182"/>
    <mergeCell ref="Y183:AB183"/>
    <mergeCell ref="Y184:AB184"/>
    <mergeCell ref="Y259:AB259"/>
    <mergeCell ref="Y250:AB250"/>
    <mergeCell ref="Y251:AB251"/>
    <mergeCell ref="Y252:AB252"/>
    <mergeCell ref="Y253:AB253"/>
    <mergeCell ref="Y260:AB260"/>
    <mergeCell ref="Y254:AB254"/>
    <mergeCell ref="Y255:AB255"/>
    <mergeCell ref="Y256:AB256"/>
  </mergeCells>
  <phoneticPr fontId="0" type="noConversion"/>
  <conditionalFormatting sqref="C88 C71:O71">
    <cfRule type="expression" dxfId="20" priority="1" stopIfTrue="1">
      <formula>$E$66&lt;0.851</formula>
    </cfRule>
  </conditionalFormatting>
  <conditionalFormatting sqref="C73:O73">
    <cfRule type="expression" dxfId="19" priority="2" stopIfTrue="1">
      <formula>$E$66&gt;0.9</formula>
    </cfRule>
  </conditionalFormatting>
  <conditionalFormatting sqref="C72:O72">
    <cfRule type="expression" dxfId="18" priority="3" stopIfTrue="1">
      <formula>$S$75&gt;0.5</formula>
    </cfRule>
  </conditionalFormatting>
  <conditionalFormatting sqref="D41">
    <cfRule type="cellIs" dxfId="17" priority="4" stopIfTrue="1" operator="lessThanOrEqual">
      <formula>$K$41</formula>
    </cfRule>
  </conditionalFormatting>
  <conditionalFormatting sqref="E41">
    <cfRule type="cellIs" dxfId="16" priority="5" stopIfTrue="1" operator="lessThan">
      <formula>$K$41</formula>
    </cfRule>
  </conditionalFormatting>
  <conditionalFormatting sqref="F41">
    <cfRule type="cellIs" dxfId="15" priority="6" stopIfTrue="1" operator="lessThanOrEqual">
      <formula>$K$41-$E$41-$D$41</formula>
    </cfRule>
  </conditionalFormatting>
  <conditionalFormatting sqref="G41">
    <cfRule type="cellIs" dxfId="14" priority="7" stopIfTrue="1" operator="lessThanOrEqual">
      <formula>$K$41-($D$41+$E$41+$F$41)</formula>
    </cfRule>
  </conditionalFormatting>
  <conditionalFormatting sqref="H41">
    <cfRule type="cellIs" dxfId="13" priority="8" stopIfTrue="1" operator="lessThanOrEqual">
      <formula>$K$41-($D$41+$E$41+$F$41+$G$41)</formula>
    </cfRule>
  </conditionalFormatting>
  <conditionalFormatting sqref="I41">
    <cfRule type="cellIs" dxfId="12" priority="9" stopIfTrue="1" operator="lessThanOrEqual">
      <formula>$K$41-($D$41+$E$41+$F$41+$G$41+$H$41)</formula>
    </cfRule>
  </conditionalFormatting>
  <conditionalFormatting sqref="D40">
    <cfRule type="expression" dxfId="11" priority="10" stopIfTrue="1">
      <formula>$AA$42=5</formula>
    </cfRule>
  </conditionalFormatting>
  <conditionalFormatting sqref="E40">
    <cfRule type="expression" dxfId="10" priority="11" stopIfTrue="1">
      <formula>$AB$42=5</formula>
    </cfRule>
  </conditionalFormatting>
  <conditionalFormatting sqref="F40">
    <cfRule type="expression" dxfId="9" priority="12" stopIfTrue="1">
      <formula>$AC$42=5</formula>
    </cfRule>
  </conditionalFormatting>
  <conditionalFormatting sqref="G40">
    <cfRule type="expression" dxfId="8" priority="13" stopIfTrue="1">
      <formula>$AD$42=5</formula>
    </cfRule>
  </conditionalFormatting>
  <conditionalFormatting sqref="H40">
    <cfRule type="expression" dxfId="7" priority="14" stopIfTrue="1">
      <formula>$AE$42=5</formula>
    </cfRule>
  </conditionalFormatting>
  <conditionalFormatting sqref="I40">
    <cfRule type="expression" dxfId="6" priority="15" stopIfTrue="1">
      <formula>$AF$42=5</formula>
    </cfRule>
  </conditionalFormatting>
  <conditionalFormatting sqref="D39">
    <cfRule type="expression" dxfId="5" priority="16" stopIfTrue="1">
      <formula>$AA$38=5</formula>
    </cfRule>
  </conditionalFormatting>
  <conditionalFormatting sqref="E39">
    <cfRule type="expression" dxfId="4" priority="17" stopIfTrue="1">
      <formula>$AB$38=5</formula>
    </cfRule>
  </conditionalFormatting>
  <conditionalFormatting sqref="F39">
    <cfRule type="expression" dxfId="3" priority="18" stopIfTrue="1">
      <formula>$AC$38=5</formula>
    </cfRule>
  </conditionalFormatting>
  <conditionalFormatting sqref="G39">
    <cfRule type="expression" dxfId="2" priority="19" stopIfTrue="1">
      <formula>$AD$38=5</formula>
    </cfRule>
  </conditionalFormatting>
  <conditionalFormatting sqref="H39">
    <cfRule type="expression" dxfId="1" priority="20" stopIfTrue="1">
      <formula>$AE$38=5</formula>
    </cfRule>
  </conditionalFormatting>
  <conditionalFormatting sqref="I39">
    <cfRule type="expression" dxfId="0" priority="21" stopIfTrue="1">
      <formula>$AF$38=5</formula>
    </cfRule>
  </conditionalFormatting>
  <printOptions horizontalCentered="1"/>
  <pageMargins left="0" right="0" top="0.78740157480314965" bottom="0.78740157480314965" header="0.51181102362204722" footer="0.51181102362204722"/>
  <pageSetup paperSize="9" scale="76" fitToWidth="3" fitToHeight="3" orientation="portrait" horizontalDpi="300" verticalDpi="300" r:id="rId1"/>
  <headerFooter alignWithMargins="0">
    <oddFooter>&amp;LSW Bemessung Abscheider_Bemessung&amp;CSeite &amp;P von &amp;N&amp;RVersion VII</oddFooter>
  </headerFooter>
  <rowBreaks count="3" manualBreakCount="3">
    <brk id="63" max="15" man="1"/>
    <brk id="123" max="15" man="1"/>
    <brk id="164"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showGridLines="0" zoomScale="75" workbookViewId="0">
      <selection activeCell="Z31" sqref="Z31"/>
    </sheetView>
  </sheetViews>
  <sheetFormatPr baseColWidth="10" defaultRowHeight="15" x14ac:dyDescent="0.2"/>
  <cols>
    <col min="1" max="1" width="5.7109375" style="2" bestFit="1" customWidth="1"/>
    <col min="2" max="4" width="5.7109375" style="2" customWidth="1"/>
    <col min="5" max="5" width="8.7109375" style="2" bestFit="1" customWidth="1"/>
    <col min="6" max="6" width="7.42578125" style="2" bestFit="1" customWidth="1"/>
    <col min="7" max="8" width="5.7109375" style="2" customWidth="1"/>
    <col min="9" max="9" width="7.140625" style="2" bestFit="1" customWidth="1"/>
    <col min="10" max="10" width="6.5703125" style="2" bestFit="1" customWidth="1"/>
    <col min="11" max="15" width="5.7109375" style="2" customWidth="1"/>
    <col min="16" max="22" width="11.42578125" style="2" hidden="1" customWidth="1"/>
    <col min="23" max="23" width="0" style="2" hidden="1" customWidth="1"/>
    <col min="24" max="16384" width="11.42578125" style="2"/>
  </cols>
  <sheetData>
    <row r="1" spans="1:16" x14ac:dyDescent="0.2">
      <c r="A1" s="362" t="s">
        <v>272</v>
      </c>
      <c r="B1" s="363"/>
      <c r="C1" s="364"/>
      <c r="D1" s="350" t="str">
        <f>IF(Eingabetabelle!D1="","",Eingabetabelle!D1)</f>
        <v/>
      </c>
      <c r="E1" s="351"/>
      <c r="F1" s="351"/>
      <c r="G1" s="351"/>
      <c r="H1" s="351"/>
      <c r="I1" s="351"/>
      <c r="J1" s="351"/>
      <c r="K1" s="351"/>
      <c r="L1" s="351"/>
      <c r="M1" s="352"/>
      <c r="N1" s="356"/>
      <c r="O1" s="357"/>
    </row>
    <row r="2" spans="1:16" x14ac:dyDescent="0.2">
      <c r="A2" s="365"/>
      <c r="B2" s="366"/>
      <c r="C2" s="367"/>
      <c r="D2" s="353"/>
      <c r="E2" s="354"/>
      <c r="F2" s="354"/>
      <c r="G2" s="354"/>
      <c r="H2" s="354"/>
      <c r="I2" s="354"/>
      <c r="J2" s="354"/>
      <c r="K2" s="354"/>
      <c r="L2" s="354"/>
      <c r="M2" s="355"/>
      <c r="N2" s="358"/>
      <c r="O2" s="359"/>
    </row>
    <row r="3" spans="1:16" ht="21" customHeight="1" x14ac:dyDescent="0.25">
      <c r="A3" s="49"/>
      <c r="B3" s="63"/>
      <c r="C3" s="64"/>
      <c r="D3" s="64"/>
      <c r="E3" s="64"/>
      <c r="F3" s="65"/>
      <c r="G3" s="65"/>
      <c r="H3" s="64"/>
      <c r="I3" s="64"/>
      <c r="J3" s="64"/>
      <c r="K3" s="64"/>
      <c r="L3" s="64"/>
      <c r="M3" s="64"/>
      <c r="N3" s="358"/>
      <c r="O3" s="359"/>
    </row>
    <row r="4" spans="1:16" x14ac:dyDescent="0.2">
      <c r="A4" s="107"/>
      <c r="B4" s="48"/>
      <c r="C4" s="48"/>
      <c r="D4" s="48"/>
      <c r="E4" s="48"/>
      <c r="F4" s="48"/>
      <c r="G4" s="48"/>
      <c r="H4" s="48"/>
      <c r="I4" s="48"/>
      <c r="J4" s="48"/>
      <c r="K4" s="48"/>
      <c r="L4" s="48"/>
      <c r="M4" s="48"/>
      <c r="N4" s="120"/>
      <c r="O4" s="121"/>
    </row>
    <row r="5" spans="1:16" x14ac:dyDescent="0.2">
      <c r="A5" s="107"/>
      <c r="B5" s="48"/>
      <c r="C5" s="48"/>
      <c r="D5" s="48"/>
      <c r="E5" s="48"/>
      <c r="F5" s="48"/>
      <c r="G5" s="48"/>
      <c r="H5" s="48"/>
      <c r="I5" s="48"/>
      <c r="J5" s="48"/>
      <c r="K5" s="48"/>
      <c r="L5" s="48"/>
      <c r="M5" s="48"/>
      <c r="N5" s="48"/>
      <c r="O5" s="108"/>
    </row>
    <row r="6" spans="1:16" ht="19.5" x14ac:dyDescent="0.25">
      <c r="A6" s="49" t="s">
        <v>65</v>
      </c>
      <c r="B6" s="109" t="s">
        <v>380</v>
      </c>
      <c r="C6" s="109"/>
      <c r="D6" s="109"/>
      <c r="E6" s="109"/>
      <c r="F6" s="109"/>
      <c r="G6" s="109"/>
      <c r="H6" s="109"/>
      <c r="I6" s="109"/>
      <c r="J6" s="109"/>
      <c r="K6" s="109"/>
      <c r="L6" s="109"/>
      <c r="M6" s="109"/>
      <c r="N6" s="109"/>
      <c r="O6" s="110"/>
      <c r="P6" s="4"/>
    </row>
    <row r="7" spans="1:16" ht="19.5" x14ac:dyDescent="0.25">
      <c r="A7" s="49"/>
      <c r="B7" s="63"/>
      <c r="C7" s="64"/>
      <c r="D7" s="64"/>
      <c r="E7" s="64"/>
      <c r="F7" s="65"/>
      <c r="G7" s="65"/>
      <c r="H7" s="64"/>
      <c r="I7" s="64"/>
      <c r="J7" s="64"/>
      <c r="K7" s="64"/>
      <c r="L7" s="64"/>
      <c r="M7" s="64"/>
      <c r="N7" s="64"/>
      <c r="O7" s="110"/>
      <c r="P7" s="4"/>
    </row>
    <row r="8" spans="1:16" ht="18" x14ac:dyDescent="0.25">
      <c r="A8" s="49"/>
      <c r="B8" s="430" t="s">
        <v>271</v>
      </c>
      <c r="C8" s="430"/>
      <c r="D8" s="430"/>
      <c r="E8" s="430"/>
      <c r="F8" s="430"/>
      <c r="G8" s="430"/>
      <c r="H8" s="430"/>
      <c r="I8" s="430"/>
      <c r="J8" s="430"/>
      <c r="K8" s="430"/>
      <c r="L8" s="430"/>
      <c r="M8" s="430"/>
      <c r="N8" s="430"/>
      <c r="O8" s="110"/>
      <c r="P8" s="4"/>
    </row>
    <row r="9" spans="1:16" ht="19.5" customHeight="1" x14ac:dyDescent="0.25">
      <c r="A9" s="49"/>
      <c r="B9" s="430"/>
      <c r="C9" s="430"/>
      <c r="D9" s="430"/>
      <c r="E9" s="430"/>
      <c r="F9" s="430"/>
      <c r="G9" s="430"/>
      <c r="H9" s="430"/>
      <c r="I9" s="430"/>
      <c r="J9" s="430"/>
      <c r="K9" s="430"/>
      <c r="L9" s="430"/>
      <c r="M9" s="430"/>
      <c r="N9" s="430"/>
      <c r="O9" s="110"/>
      <c r="P9" s="4"/>
    </row>
    <row r="10" spans="1:16" x14ac:dyDescent="0.2">
      <c r="A10" s="66"/>
      <c r="B10" s="55"/>
      <c r="C10" s="55"/>
      <c r="D10" s="55"/>
      <c r="E10" s="55"/>
      <c r="F10" s="55"/>
      <c r="G10" s="55"/>
      <c r="H10" s="55"/>
      <c r="I10" s="55"/>
      <c r="J10" s="55"/>
      <c r="K10" s="55"/>
      <c r="L10" s="55"/>
      <c r="M10" s="55"/>
      <c r="N10" s="55"/>
      <c r="O10" s="67"/>
      <c r="P10" s="4"/>
    </row>
    <row r="11" spans="1:16" x14ac:dyDescent="0.2">
      <c r="A11" s="49" t="s">
        <v>66</v>
      </c>
      <c r="B11" s="262" t="s">
        <v>55</v>
      </c>
      <c r="C11" s="262"/>
      <c r="D11" s="262"/>
      <c r="E11" s="262"/>
      <c r="F11" s="262"/>
      <c r="G11" s="262"/>
      <c r="H11" s="262"/>
      <c r="I11" s="262"/>
      <c r="J11" s="262"/>
      <c r="K11" s="262"/>
      <c r="L11" s="262"/>
      <c r="M11" s="262"/>
      <c r="N11" s="262"/>
      <c r="O11" s="67"/>
      <c r="P11" s="4"/>
    </row>
    <row r="12" spans="1:16" x14ac:dyDescent="0.2">
      <c r="A12" s="49"/>
      <c r="B12" s="429" t="s">
        <v>62</v>
      </c>
      <c r="C12" s="429"/>
      <c r="D12" s="429"/>
      <c r="E12" s="429"/>
      <c r="F12" s="429"/>
      <c r="G12" s="429"/>
      <c r="H12" s="429"/>
      <c r="I12" s="429"/>
      <c r="J12" s="429"/>
      <c r="K12" s="429"/>
      <c r="L12" s="429"/>
      <c r="M12" s="429"/>
      <c r="N12" s="429"/>
      <c r="O12" s="67"/>
      <c r="P12" s="4"/>
    </row>
    <row r="13" spans="1:16" x14ac:dyDescent="0.2">
      <c r="A13" s="49"/>
      <c r="B13" s="43"/>
      <c r="C13" s="43"/>
      <c r="D13" s="43"/>
      <c r="E13" s="43"/>
      <c r="F13" s="43"/>
      <c r="G13" s="43"/>
      <c r="H13" s="43"/>
      <c r="I13" s="43"/>
      <c r="J13" s="43"/>
      <c r="K13" s="43"/>
      <c r="L13" s="43"/>
      <c r="M13" s="43"/>
      <c r="N13" s="43"/>
      <c r="O13" s="67"/>
      <c r="P13" s="4"/>
    </row>
    <row r="14" spans="1:16" x14ac:dyDescent="0.2">
      <c r="A14" s="66"/>
      <c r="B14" s="60" t="s">
        <v>267</v>
      </c>
      <c r="C14" s="111"/>
      <c r="D14" s="111"/>
      <c r="E14" s="60"/>
      <c r="F14" s="60"/>
      <c r="G14" s="70" t="s">
        <v>30</v>
      </c>
      <c r="H14" s="70" t="s">
        <v>31</v>
      </c>
      <c r="I14" s="70">
        <f>Bemessung!E138</f>
        <v>0</v>
      </c>
      <c r="J14" s="111"/>
      <c r="K14" s="111"/>
      <c r="L14" s="112"/>
      <c r="M14" s="112"/>
      <c r="N14" s="111"/>
      <c r="O14" s="113"/>
      <c r="P14" s="4"/>
    </row>
    <row r="15" spans="1:16" x14ac:dyDescent="0.2">
      <c r="A15" s="66"/>
      <c r="B15" s="60"/>
      <c r="C15" s="111"/>
      <c r="D15" s="111"/>
      <c r="E15" s="60"/>
      <c r="F15" s="60"/>
      <c r="G15" s="60"/>
      <c r="H15" s="70"/>
      <c r="I15" s="70"/>
      <c r="J15" s="111"/>
      <c r="K15" s="111"/>
      <c r="L15" s="112"/>
      <c r="M15" s="112"/>
      <c r="N15" s="111"/>
      <c r="O15" s="113"/>
      <c r="P15" s="4"/>
    </row>
    <row r="16" spans="1:16" x14ac:dyDescent="0.2">
      <c r="A16" s="69"/>
      <c r="B16" s="43" t="s">
        <v>268</v>
      </c>
      <c r="C16" s="70"/>
      <c r="D16" s="70"/>
      <c r="E16" s="70"/>
      <c r="F16" s="70"/>
      <c r="G16" s="70" t="s">
        <v>70</v>
      </c>
      <c r="H16" s="70" t="s">
        <v>31</v>
      </c>
      <c r="I16" s="70">
        <f>Bemessung!O145/1000</f>
        <v>0</v>
      </c>
      <c r="J16" s="70" t="s">
        <v>256</v>
      </c>
      <c r="K16" s="43" t="s">
        <v>269</v>
      </c>
      <c r="L16" s="70"/>
      <c r="M16" s="70"/>
      <c r="N16" s="60">
        <f>Bemessung!O147/1000</f>
        <v>2.5</v>
      </c>
      <c r="O16" s="114" t="s">
        <v>256</v>
      </c>
      <c r="P16" s="4"/>
    </row>
    <row r="17" spans="1:21" x14ac:dyDescent="0.2">
      <c r="A17" s="77"/>
      <c r="B17" s="70"/>
      <c r="C17" s="70"/>
      <c r="D17" s="70"/>
      <c r="E17" s="70"/>
      <c r="F17" s="70"/>
      <c r="G17" s="70"/>
      <c r="H17" s="70"/>
      <c r="I17" s="70"/>
      <c r="J17" s="70"/>
      <c r="K17" s="70"/>
      <c r="L17" s="70"/>
      <c r="M17" s="70"/>
      <c r="N17" s="60"/>
      <c r="O17" s="114"/>
    </row>
    <row r="18" spans="1:21" x14ac:dyDescent="0.2">
      <c r="A18" s="77"/>
      <c r="B18" s="43" t="s">
        <v>270</v>
      </c>
      <c r="C18" s="70"/>
      <c r="D18" s="70"/>
      <c r="E18" s="75"/>
      <c r="F18" s="70"/>
      <c r="G18" s="70" t="s">
        <v>52</v>
      </c>
      <c r="H18" s="70" t="s">
        <v>31</v>
      </c>
      <c r="I18" s="75">
        <f>Bemessung!E66</f>
        <v>0</v>
      </c>
      <c r="J18" s="429" t="s">
        <v>257</v>
      </c>
      <c r="K18" s="429"/>
      <c r="L18" s="70"/>
      <c r="M18" s="70"/>
      <c r="N18" s="115"/>
      <c r="O18" s="114"/>
    </row>
    <row r="19" spans="1:21" x14ac:dyDescent="0.2">
      <c r="A19" s="77"/>
      <c r="B19" s="60"/>
      <c r="C19" s="60"/>
      <c r="D19" s="60"/>
      <c r="E19" s="60"/>
      <c r="F19" s="60"/>
      <c r="G19" s="60"/>
      <c r="H19" s="60"/>
      <c r="I19" s="60"/>
      <c r="J19" s="60"/>
      <c r="K19" s="60"/>
      <c r="L19" s="60"/>
      <c r="M19" s="60"/>
      <c r="N19" s="115"/>
      <c r="O19" s="114"/>
    </row>
    <row r="20" spans="1:21" x14ac:dyDescent="0.2">
      <c r="A20" s="77"/>
      <c r="B20" s="60"/>
      <c r="C20" s="60"/>
      <c r="D20" s="60"/>
      <c r="E20" s="60"/>
      <c r="F20" s="60"/>
      <c r="G20" s="60"/>
      <c r="H20" s="60"/>
      <c r="I20" s="60"/>
      <c r="J20" s="60"/>
      <c r="K20" s="60"/>
      <c r="L20" s="60"/>
      <c r="M20" s="60"/>
      <c r="N20" s="115"/>
      <c r="O20" s="114"/>
    </row>
    <row r="21" spans="1:21" x14ac:dyDescent="0.2">
      <c r="A21" s="49" t="s">
        <v>67</v>
      </c>
      <c r="B21" s="262" t="s">
        <v>567</v>
      </c>
      <c r="C21" s="262"/>
      <c r="D21" s="262"/>
      <c r="E21" s="262"/>
      <c r="F21" s="262"/>
      <c r="G21" s="262"/>
      <c r="H21" s="262"/>
      <c r="I21" s="262"/>
      <c r="J21" s="262"/>
      <c r="K21" s="262"/>
      <c r="L21" s="262"/>
      <c r="M21" s="262"/>
      <c r="N21" s="262"/>
      <c r="O21" s="113"/>
    </row>
    <row r="22" spans="1:21" x14ac:dyDescent="0.2">
      <c r="A22" s="49"/>
      <c r="B22" s="429" t="s">
        <v>62</v>
      </c>
      <c r="C22" s="429"/>
      <c r="D22" s="429"/>
      <c r="E22" s="429"/>
      <c r="F22" s="429"/>
      <c r="G22" s="429"/>
      <c r="H22" s="429"/>
      <c r="I22" s="429"/>
      <c r="J22" s="429"/>
      <c r="K22" s="429"/>
      <c r="L22" s="429"/>
      <c r="M22" s="429"/>
      <c r="N22" s="429"/>
      <c r="O22" s="113"/>
    </row>
    <row r="23" spans="1:21" x14ac:dyDescent="0.2">
      <c r="A23" s="49"/>
      <c r="B23" s="43"/>
      <c r="C23" s="43"/>
      <c r="D23" s="43"/>
      <c r="E23" s="43"/>
      <c r="F23" s="43"/>
      <c r="G23" s="43"/>
      <c r="H23" s="43"/>
      <c r="I23" s="43"/>
      <c r="J23" s="43"/>
      <c r="K23" s="43"/>
      <c r="L23" s="43"/>
      <c r="M23" s="43"/>
      <c r="N23" s="43"/>
      <c r="O23" s="113"/>
      <c r="Q23" s="2">
        <f>Bemessung!E66</f>
        <v>0</v>
      </c>
      <c r="R23" s="2">
        <f>IF(Q23&gt;0.85,1.5,1)</f>
        <v>1</v>
      </c>
      <c r="S23" s="2">
        <f>IF(Q23&gt;0.9,2,0)</f>
        <v>0</v>
      </c>
      <c r="U23" s="5">
        <f>MAX(R23:S23)</f>
        <v>1</v>
      </c>
    </row>
    <row r="24" spans="1:21" x14ac:dyDescent="0.2">
      <c r="A24" s="66"/>
      <c r="B24" s="60" t="s">
        <v>267</v>
      </c>
      <c r="C24" s="111"/>
      <c r="D24" s="111"/>
      <c r="E24" s="60"/>
      <c r="F24" s="60"/>
      <c r="G24" s="70" t="s">
        <v>30</v>
      </c>
      <c r="H24" s="70" t="s">
        <v>31</v>
      </c>
      <c r="I24" s="70">
        <f>I14*U23</f>
        <v>0</v>
      </c>
      <c r="J24" s="111"/>
      <c r="K24" s="111"/>
      <c r="L24" s="112"/>
      <c r="M24" s="112"/>
      <c r="N24" s="111"/>
      <c r="O24" s="113"/>
      <c r="Q24" s="2">
        <f>Eingabetabelle!H29</f>
        <v>0</v>
      </c>
      <c r="R24" s="2">
        <f>IF(Q24&gt;2,1.25,1)</f>
        <v>1</v>
      </c>
      <c r="S24" s="2">
        <f>IF(Q24&gt;5,1.5,0)</f>
        <v>0</v>
      </c>
      <c r="T24" s="2">
        <f>IF(Q24&gt;10,1.75,0)</f>
        <v>0</v>
      </c>
      <c r="U24" s="5">
        <f>MAX(R24:T24)</f>
        <v>1</v>
      </c>
    </row>
    <row r="25" spans="1:21" x14ac:dyDescent="0.2">
      <c r="A25" s="69"/>
      <c r="B25" s="241" t="s">
        <v>267</v>
      </c>
      <c r="C25" s="242"/>
      <c r="D25" s="242"/>
      <c r="E25" s="241"/>
      <c r="F25" s="241"/>
      <c r="G25" s="205" t="s">
        <v>30</v>
      </c>
      <c r="H25" s="205" t="s">
        <v>31</v>
      </c>
      <c r="I25" s="205">
        <f>I24*U24</f>
        <v>0</v>
      </c>
      <c r="J25" s="243" t="s">
        <v>59</v>
      </c>
      <c r="K25" s="111"/>
      <c r="L25" s="112"/>
      <c r="M25" s="112"/>
      <c r="N25" s="111"/>
      <c r="O25" s="113"/>
    </row>
    <row r="26" spans="1:21" x14ac:dyDescent="0.2">
      <c r="A26" s="69"/>
      <c r="B26" s="241" t="s">
        <v>568</v>
      </c>
      <c r="C26" s="242"/>
      <c r="D26" s="242"/>
      <c r="E26" s="241"/>
      <c r="F26" s="241"/>
      <c r="G26" s="205"/>
      <c r="H26" s="205"/>
      <c r="I26" s="205"/>
      <c r="J26" s="111"/>
      <c r="K26" s="111"/>
      <c r="L26" s="112"/>
      <c r="M26" s="112"/>
      <c r="N26" s="111"/>
      <c r="O26" s="113"/>
    </row>
    <row r="27" spans="1:21" x14ac:dyDescent="0.2">
      <c r="A27" s="69"/>
      <c r="B27" s="242"/>
      <c r="C27" s="242"/>
      <c r="D27" s="242"/>
      <c r="E27" s="241"/>
      <c r="F27" s="241"/>
      <c r="G27" s="205"/>
      <c r="H27" s="205"/>
      <c r="I27" s="205"/>
      <c r="J27" s="111"/>
      <c r="K27" s="111"/>
      <c r="L27" s="112"/>
      <c r="M27" s="112"/>
      <c r="N27" s="111"/>
      <c r="O27" s="113"/>
    </row>
    <row r="28" spans="1:21" x14ac:dyDescent="0.2">
      <c r="A28" s="77"/>
      <c r="B28" s="43" t="s">
        <v>268</v>
      </c>
      <c r="C28" s="70"/>
      <c r="D28" s="70"/>
      <c r="E28" s="70"/>
      <c r="F28" s="70"/>
      <c r="G28" s="70" t="s">
        <v>70</v>
      </c>
      <c r="H28" s="70" t="s">
        <v>31</v>
      </c>
      <c r="I28" s="70">
        <f>I16</f>
        <v>0</v>
      </c>
      <c r="J28" s="70" t="s">
        <v>256</v>
      </c>
      <c r="K28" s="43" t="s">
        <v>269</v>
      </c>
      <c r="L28" s="70"/>
      <c r="M28" s="70"/>
      <c r="N28" s="60">
        <f>N16</f>
        <v>2.5</v>
      </c>
      <c r="O28" s="114" t="s">
        <v>256</v>
      </c>
    </row>
    <row r="29" spans="1:21" x14ac:dyDescent="0.2">
      <c r="A29" s="77"/>
      <c r="B29" s="70"/>
      <c r="C29" s="70"/>
      <c r="D29" s="70"/>
      <c r="E29" s="70"/>
      <c r="F29" s="70"/>
      <c r="G29" s="70"/>
      <c r="H29" s="70"/>
      <c r="I29" s="70"/>
      <c r="J29" s="70"/>
      <c r="K29" s="70"/>
      <c r="L29" s="70"/>
      <c r="M29" s="70"/>
      <c r="N29" s="60"/>
      <c r="O29" s="114"/>
    </row>
    <row r="30" spans="1:21" x14ac:dyDescent="0.2">
      <c r="A30" s="77"/>
      <c r="B30" s="43" t="s">
        <v>270</v>
      </c>
      <c r="C30" s="70"/>
      <c r="D30" s="70"/>
      <c r="E30" s="75"/>
      <c r="F30" s="70"/>
      <c r="G30" s="70" t="s">
        <v>52</v>
      </c>
      <c r="H30" s="70" t="s">
        <v>31</v>
      </c>
      <c r="I30" s="75">
        <f>I18</f>
        <v>0</v>
      </c>
      <c r="J30" s="429" t="s">
        <v>257</v>
      </c>
      <c r="K30" s="429"/>
      <c r="L30" s="70"/>
      <c r="M30" s="70"/>
      <c r="N30" s="115"/>
      <c r="O30" s="114"/>
    </row>
    <row r="31" spans="1:21" x14ac:dyDescent="0.2">
      <c r="A31" s="77"/>
      <c r="B31" s="43"/>
      <c r="C31" s="70"/>
      <c r="D31" s="70"/>
      <c r="E31" s="75"/>
      <c r="F31" s="70"/>
      <c r="G31" s="116"/>
      <c r="H31" s="116"/>
      <c r="I31" s="116"/>
      <c r="J31" s="116"/>
      <c r="K31" s="116"/>
      <c r="L31" s="70"/>
      <c r="M31" s="70"/>
      <c r="N31" s="115"/>
      <c r="O31" s="114"/>
    </row>
    <row r="32" spans="1:21" x14ac:dyDescent="0.2">
      <c r="A32" s="77"/>
      <c r="B32" s="60"/>
      <c r="C32" s="60"/>
      <c r="D32" s="60"/>
      <c r="E32" s="60"/>
      <c r="F32" s="60"/>
      <c r="G32" s="60"/>
      <c r="H32" s="60"/>
      <c r="I32" s="60"/>
      <c r="J32" s="60"/>
      <c r="K32" s="60"/>
      <c r="L32" s="60"/>
      <c r="M32" s="60"/>
      <c r="N32" s="115"/>
      <c r="O32" s="114"/>
    </row>
    <row r="33" spans="1:21" x14ac:dyDescent="0.2">
      <c r="A33" s="49" t="s">
        <v>68</v>
      </c>
      <c r="B33" s="262" t="s">
        <v>61</v>
      </c>
      <c r="C33" s="262"/>
      <c r="D33" s="262"/>
      <c r="E33" s="262"/>
      <c r="F33" s="262"/>
      <c r="G33" s="262"/>
      <c r="H33" s="262"/>
      <c r="I33" s="262"/>
      <c r="J33" s="262"/>
      <c r="K33" s="262"/>
      <c r="L33" s="262"/>
      <c r="M33" s="262"/>
      <c r="N33" s="262"/>
      <c r="O33" s="114"/>
    </row>
    <row r="34" spans="1:21" x14ac:dyDescent="0.2">
      <c r="A34" s="49"/>
      <c r="B34" s="429" t="s">
        <v>63</v>
      </c>
      <c r="C34" s="429"/>
      <c r="D34" s="429"/>
      <c r="E34" s="429"/>
      <c r="F34" s="429"/>
      <c r="G34" s="429"/>
      <c r="H34" s="429"/>
      <c r="I34" s="429"/>
      <c r="J34" s="429"/>
      <c r="K34" s="429"/>
      <c r="L34" s="429"/>
      <c r="M34" s="429"/>
      <c r="N34" s="429"/>
      <c r="O34" s="114"/>
    </row>
    <row r="35" spans="1:21" x14ac:dyDescent="0.2">
      <c r="A35" s="49"/>
      <c r="B35" s="43"/>
      <c r="C35" s="43"/>
      <c r="D35" s="43"/>
      <c r="E35" s="43"/>
      <c r="F35" s="43"/>
      <c r="G35" s="43"/>
      <c r="H35" s="43"/>
      <c r="I35" s="43"/>
      <c r="J35" s="43"/>
      <c r="K35" s="43"/>
      <c r="L35" s="43"/>
      <c r="M35" s="43"/>
      <c r="N35" s="43"/>
      <c r="O35" s="114"/>
      <c r="Q35" s="2">
        <f>Bemessung!E66</f>
        <v>0</v>
      </c>
      <c r="R35" s="2">
        <f>IF(Q35&gt;0.85,2,1)</f>
        <v>1</v>
      </c>
      <c r="S35" s="2">
        <f>IF(Q35&gt;0.9,3,0)</f>
        <v>0</v>
      </c>
      <c r="U35" s="5">
        <f>MAX(R35:S35)</f>
        <v>1</v>
      </c>
    </row>
    <row r="36" spans="1:21" x14ac:dyDescent="0.2">
      <c r="A36" s="66"/>
      <c r="B36" s="60" t="s">
        <v>267</v>
      </c>
      <c r="C36" s="111"/>
      <c r="D36" s="111"/>
      <c r="E36" s="60"/>
      <c r="F36" s="60"/>
      <c r="G36" s="70" t="s">
        <v>30</v>
      </c>
      <c r="H36" s="70" t="s">
        <v>31</v>
      </c>
      <c r="I36" s="70">
        <f>I14*U35</f>
        <v>0</v>
      </c>
      <c r="J36" s="111"/>
      <c r="K36" s="111"/>
      <c r="L36" s="112"/>
      <c r="M36" s="112"/>
      <c r="N36" s="111"/>
      <c r="O36" s="113"/>
      <c r="Q36" s="2">
        <f>Eingabetabelle!H29</f>
        <v>0</v>
      </c>
      <c r="R36" s="2">
        <f>IF(Q36&gt;2,1,1)</f>
        <v>1</v>
      </c>
      <c r="S36" s="2">
        <f>IF(Q36&gt;5,1.25,0)</f>
        <v>0</v>
      </c>
      <c r="T36" s="2">
        <f>IF(Q36&gt;10,1.5,0)</f>
        <v>0</v>
      </c>
      <c r="U36" s="5">
        <f>MAX(R36:T36)</f>
        <v>1</v>
      </c>
    </row>
    <row r="37" spans="1:21" x14ac:dyDescent="0.2">
      <c r="A37" s="69"/>
      <c r="B37" s="241" t="s">
        <v>267</v>
      </c>
      <c r="C37" s="242"/>
      <c r="D37" s="242"/>
      <c r="E37" s="241"/>
      <c r="F37" s="241"/>
      <c r="G37" s="205" t="s">
        <v>30</v>
      </c>
      <c r="H37" s="205" t="s">
        <v>31</v>
      </c>
      <c r="I37" s="205">
        <f>I36*U36</f>
        <v>0</v>
      </c>
      <c r="J37" s="243" t="s">
        <v>59</v>
      </c>
      <c r="K37" s="111"/>
      <c r="L37" s="112"/>
      <c r="M37" s="112"/>
      <c r="N37" s="111"/>
      <c r="O37" s="113"/>
    </row>
    <row r="38" spans="1:21" x14ac:dyDescent="0.2">
      <c r="A38" s="69"/>
      <c r="B38" s="241" t="s">
        <v>568</v>
      </c>
      <c r="C38" s="242"/>
      <c r="D38" s="242"/>
      <c r="E38" s="241"/>
      <c r="F38" s="241"/>
      <c r="G38" s="205"/>
      <c r="H38" s="205"/>
      <c r="I38" s="205"/>
      <c r="J38" s="111"/>
      <c r="K38" s="111"/>
      <c r="L38" s="112"/>
      <c r="M38" s="112"/>
      <c r="N38" s="111"/>
      <c r="O38" s="113"/>
    </row>
    <row r="39" spans="1:21" x14ac:dyDescent="0.2">
      <c r="A39" s="69"/>
      <c r="B39" s="60"/>
      <c r="C39" s="111"/>
      <c r="D39" s="111"/>
      <c r="E39" s="60"/>
      <c r="F39" s="60"/>
      <c r="G39" s="70"/>
      <c r="H39" s="70"/>
      <c r="I39" s="70"/>
      <c r="J39" s="111"/>
      <c r="K39" s="111"/>
      <c r="L39" s="112"/>
      <c r="M39" s="112"/>
      <c r="N39" s="111"/>
      <c r="O39" s="113"/>
    </row>
    <row r="40" spans="1:21" x14ac:dyDescent="0.2">
      <c r="A40" s="77"/>
      <c r="B40" s="43" t="s">
        <v>268</v>
      </c>
      <c r="C40" s="70"/>
      <c r="D40" s="70"/>
      <c r="E40" s="70"/>
      <c r="F40" s="70"/>
      <c r="G40" s="70" t="s">
        <v>70</v>
      </c>
      <c r="H40" s="70" t="s">
        <v>31</v>
      </c>
      <c r="I40" s="70">
        <f>I16</f>
        <v>0</v>
      </c>
      <c r="J40" s="70" t="s">
        <v>256</v>
      </c>
      <c r="K40" s="43" t="s">
        <v>269</v>
      </c>
      <c r="L40" s="70"/>
      <c r="M40" s="70"/>
      <c r="N40" s="60">
        <f>N16</f>
        <v>2.5</v>
      </c>
      <c r="O40" s="114" t="s">
        <v>256</v>
      </c>
    </row>
    <row r="41" spans="1:21" x14ac:dyDescent="0.2">
      <c r="A41" s="77"/>
      <c r="B41" s="70"/>
      <c r="C41" s="70"/>
      <c r="D41" s="70"/>
      <c r="E41" s="70"/>
      <c r="F41" s="70"/>
      <c r="G41" s="70"/>
      <c r="H41" s="70"/>
      <c r="I41" s="70"/>
      <c r="J41" s="70"/>
      <c r="K41" s="70"/>
      <c r="L41" s="70"/>
      <c r="M41" s="70"/>
      <c r="N41" s="60"/>
      <c r="O41" s="114"/>
    </row>
    <row r="42" spans="1:21" x14ac:dyDescent="0.2">
      <c r="A42" s="77"/>
      <c r="B42" s="43" t="s">
        <v>270</v>
      </c>
      <c r="C42" s="70"/>
      <c r="D42" s="70"/>
      <c r="E42" s="75"/>
      <c r="F42" s="70"/>
      <c r="G42" s="70" t="s">
        <v>52</v>
      </c>
      <c r="H42" s="70" t="s">
        <v>31</v>
      </c>
      <c r="I42" s="75">
        <f>I18</f>
        <v>0</v>
      </c>
      <c r="J42" s="429" t="s">
        <v>257</v>
      </c>
      <c r="K42" s="429"/>
      <c r="L42" s="70"/>
      <c r="M42" s="70"/>
      <c r="N42" s="115"/>
      <c r="O42" s="114"/>
    </row>
    <row r="43" spans="1:21" x14ac:dyDescent="0.2">
      <c r="A43" s="107"/>
      <c r="B43" s="117"/>
      <c r="C43" s="117"/>
      <c r="D43" s="117"/>
      <c r="E43" s="117"/>
      <c r="F43" s="117"/>
      <c r="G43" s="117"/>
      <c r="H43" s="117"/>
      <c r="I43" s="117"/>
      <c r="J43" s="48"/>
      <c r="K43" s="48"/>
      <c r="L43" s="48"/>
      <c r="M43" s="48"/>
      <c r="N43" s="48"/>
      <c r="O43" s="108"/>
      <c r="R43" s="5"/>
    </row>
    <row r="44" spans="1:21" x14ac:dyDescent="0.2">
      <c r="A44" s="47"/>
      <c r="B44" s="431"/>
      <c r="C44" s="431"/>
      <c r="D44" s="431"/>
      <c r="E44" s="431"/>
      <c r="F44" s="431"/>
      <c r="G44" s="431"/>
      <c r="H44" s="431"/>
      <c r="I44" s="431"/>
      <c r="J44" s="431"/>
      <c r="K44" s="431"/>
      <c r="L44" s="431"/>
      <c r="M44" s="431"/>
      <c r="N44" s="431"/>
      <c r="O44" s="108"/>
    </row>
    <row r="45" spans="1:21" x14ac:dyDescent="0.2">
      <c r="A45" s="47"/>
      <c r="B45" s="428"/>
      <c r="C45" s="428"/>
      <c r="D45" s="428"/>
      <c r="E45" s="428"/>
      <c r="F45" s="428"/>
      <c r="G45" s="428"/>
      <c r="H45" s="428"/>
      <c r="I45" s="428"/>
      <c r="J45" s="428"/>
      <c r="K45" s="428"/>
      <c r="L45" s="428"/>
      <c r="M45" s="428"/>
      <c r="N45" s="428"/>
      <c r="O45" s="108"/>
    </row>
    <row r="46" spans="1:21" x14ac:dyDescent="0.2">
      <c r="A46" s="107"/>
      <c r="B46" s="48"/>
      <c r="C46" s="48"/>
      <c r="D46" s="48"/>
      <c r="E46" s="48"/>
      <c r="F46" s="48"/>
      <c r="G46" s="48"/>
      <c r="H46" s="48"/>
      <c r="I46" s="48"/>
      <c r="J46" s="48"/>
      <c r="K46" s="48"/>
      <c r="L46" s="48"/>
      <c r="M46" s="48"/>
      <c r="N46" s="48"/>
      <c r="O46" s="108"/>
    </row>
    <row r="47" spans="1:21" x14ac:dyDescent="0.2">
      <c r="A47" s="107"/>
      <c r="B47" s="48"/>
      <c r="C47" s="48"/>
      <c r="D47" s="48"/>
      <c r="E47" s="48"/>
      <c r="F47" s="48"/>
      <c r="G47" s="48"/>
      <c r="H47" s="48"/>
      <c r="I47" s="48"/>
      <c r="J47" s="48"/>
      <c r="K47" s="48"/>
      <c r="L47" s="48"/>
      <c r="M47" s="48"/>
      <c r="N47" s="48"/>
      <c r="O47" s="108"/>
    </row>
    <row r="48" spans="1:21" x14ac:dyDescent="0.2">
      <c r="A48" s="107"/>
      <c r="B48" s="48"/>
      <c r="C48" s="117"/>
      <c r="D48" s="117"/>
      <c r="E48" s="118"/>
      <c r="F48" s="117"/>
      <c r="G48" s="117"/>
      <c r="H48" s="117"/>
      <c r="I48" s="118"/>
      <c r="J48" s="117"/>
      <c r="K48" s="117"/>
      <c r="L48" s="117"/>
      <c r="M48" s="117"/>
      <c r="N48" s="48"/>
      <c r="O48" s="108"/>
    </row>
    <row r="49" spans="1:15" x14ac:dyDescent="0.2">
      <c r="A49" s="122"/>
      <c r="B49" s="119"/>
      <c r="C49" s="119"/>
      <c r="D49" s="119"/>
      <c r="E49" s="119"/>
      <c r="F49" s="119"/>
      <c r="G49" s="119"/>
      <c r="H49" s="119"/>
      <c r="I49" s="119"/>
      <c r="J49" s="119"/>
      <c r="K49" s="119"/>
      <c r="L49" s="161"/>
      <c r="M49" s="161"/>
      <c r="N49" s="161"/>
      <c r="O49" s="163"/>
    </row>
    <row r="52" spans="1:15" x14ac:dyDescent="0.2">
      <c r="B52"/>
      <c r="C52"/>
      <c r="D52"/>
      <c r="E52"/>
      <c r="F52"/>
      <c r="G52"/>
      <c r="H52"/>
      <c r="I52"/>
      <c r="J52"/>
      <c r="K52"/>
      <c r="L52"/>
      <c r="M52"/>
      <c r="N52"/>
    </row>
    <row r="53" spans="1:15" x14ac:dyDescent="0.2">
      <c r="B53"/>
      <c r="C53"/>
      <c r="D53"/>
      <c r="E53"/>
      <c r="F53"/>
      <c r="G53"/>
      <c r="H53"/>
      <c r="I53"/>
      <c r="J53"/>
      <c r="K53"/>
      <c r="L53"/>
      <c r="M53"/>
      <c r="N53"/>
    </row>
    <row r="54" spans="1:15" x14ac:dyDescent="0.2">
      <c r="B54"/>
      <c r="C54"/>
      <c r="D54"/>
      <c r="E54"/>
      <c r="F54"/>
      <c r="G54"/>
      <c r="H54"/>
      <c r="I54"/>
      <c r="J54"/>
      <c r="K54"/>
      <c r="L54"/>
      <c r="M54"/>
      <c r="N54"/>
    </row>
  </sheetData>
  <sheetProtection password="CD42" sheet="1" objects="1" scenarios="1"/>
  <mergeCells count="15">
    <mergeCell ref="B8:N9"/>
    <mergeCell ref="A1:C2"/>
    <mergeCell ref="D1:M2"/>
    <mergeCell ref="N1:O3"/>
    <mergeCell ref="B44:N44"/>
    <mergeCell ref="B45:N45"/>
    <mergeCell ref="B11:N11"/>
    <mergeCell ref="B21:N21"/>
    <mergeCell ref="B33:N33"/>
    <mergeCell ref="B34:N34"/>
    <mergeCell ref="B12:N12"/>
    <mergeCell ref="B22:N22"/>
    <mergeCell ref="J18:K18"/>
    <mergeCell ref="J30:K30"/>
    <mergeCell ref="J42:K42"/>
  </mergeCells>
  <phoneticPr fontId="0" type="noConversion"/>
  <printOptions horizontalCentered="1"/>
  <pageMargins left="0.39370078740157483" right="0.39370078740157483" top="0.98425196850393704" bottom="0.98425196850393704" header="0.51181102362204722" footer="0.51181102362204722"/>
  <pageSetup paperSize="9" orientation="portrait" r:id="rId1"/>
  <headerFooter alignWithMargins="0">
    <oddFooter>&amp;LSW Bemessung Abscheider_Ergebnis&amp;CSeite &amp;P von &amp;N&amp;RVersion VII</oddFooter>
  </headerFooter>
  <ignoredErrors>
    <ignoredError sqref="T24" formula="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Eingabetabelle</vt:lpstr>
      <vt:lpstr>Erschwernisfaktortabelle</vt:lpstr>
      <vt:lpstr>Dichtetabelle</vt:lpstr>
      <vt:lpstr>Bemessung</vt:lpstr>
      <vt:lpstr>erford. Mineralölabscheider</vt:lpstr>
      <vt:lpstr>Bemessung!Druckbereich</vt:lpstr>
      <vt:lpstr>Eingabetabelle!Druckbereich</vt:lpstr>
      <vt:lpstr>'erford. Mineralölabscheider'!Druckbereich</vt:lpstr>
      <vt:lpstr>Erschwernisfaktortabelle!Druckbereich</vt:lpstr>
    </vt:vector>
  </TitlesOfParts>
  <Company>TB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Bemessung MÖA laut EN 858</dc:title>
  <dc:creator>Ing. Hubert Ofner</dc:creator>
  <cp:lastModifiedBy>Christine</cp:lastModifiedBy>
  <cp:lastPrinted>2009-09-16T12:56:52Z</cp:lastPrinted>
  <dcterms:created xsi:type="dcterms:W3CDTF">2003-03-31T14:32:50Z</dcterms:created>
  <dcterms:modified xsi:type="dcterms:W3CDTF">2018-02-28T06:39:27Z</dcterms:modified>
</cp:coreProperties>
</file>